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29"/>
  <workbookPr/>
  <mc:AlternateContent xmlns:mc="http://schemas.openxmlformats.org/markup-compatibility/2006">
    <mc:Choice Requires="x15">
      <x15ac:absPath xmlns:x15ac="http://schemas.microsoft.com/office/spreadsheetml/2010/11/ac" url="C:\Users\Rebecca\Dropbox\PhD\Chapters all merged\"/>
    </mc:Choice>
  </mc:AlternateContent>
  <bookViews>
    <workbookView xWindow="0" yWindow="0" windowWidth="19200" windowHeight="11748" activeTab="1"/>
  </bookViews>
  <sheets>
    <sheet name="Notes" sheetId="4" r:id="rId1"/>
    <sheet name="KE" sheetId="1" r:id="rId2"/>
    <sheet name="TZ" sheetId="2" r:id="rId3"/>
    <sheet name="UG" sheetId="3" r:id="rId4"/>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H185" i="2" l="1"/>
  <c r="AI185" i="2"/>
  <c r="AG169" i="3"/>
  <c r="BR169" i="3"/>
  <c r="AL169" i="3"/>
  <c r="BO143" i="3" l="1"/>
  <c r="BP175" i="3"/>
  <c r="BO175" i="3"/>
  <c r="BN175" i="3"/>
  <c r="BN169" i="3" s="1"/>
  <c r="BM175" i="3"/>
  <c r="BM169" i="3" s="1"/>
  <c r="AZ175" i="3"/>
  <c r="AV170" i="3"/>
  <c r="AV169" i="3" s="1"/>
  <c r="AQ170" i="3"/>
  <c r="AQ169" i="3" s="1"/>
  <c r="CC161" i="3"/>
  <c r="CB161" i="3"/>
  <c r="CA161" i="3"/>
  <c r="BZ161" i="3"/>
  <c r="BY161" i="3"/>
  <c r="BX161" i="3"/>
  <c r="BW161" i="3"/>
  <c r="BV161" i="3"/>
  <c r="BU161" i="3"/>
  <c r="BT161" i="3"/>
  <c r="BS161" i="3"/>
  <c r="BR161" i="3"/>
  <c r="CC160" i="3"/>
  <c r="CB160" i="3"/>
  <c r="CA160" i="3"/>
  <c r="BZ160" i="3"/>
  <c r="BZ159" i="3" s="1"/>
  <c r="BY160" i="3"/>
  <c r="BX160" i="3"/>
  <c r="BW160" i="3"/>
  <c r="BV160" i="3"/>
  <c r="BU160" i="3"/>
  <c r="BT160" i="3"/>
  <c r="BS160" i="3"/>
  <c r="BR160" i="3"/>
  <c r="BR159" i="3" s="1"/>
  <c r="BX159" i="3"/>
  <c r="AO70" i="3"/>
  <c r="AP70" i="3"/>
  <c r="AQ70" i="3"/>
  <c r="AR70" i="3"/>
  <c r="AS70" i="3"/>
  <c r="AN70" i="3"/>
  <c r="AM70" i="3"/>
  <c r="BV185" i="2"/>
  <c r="BQ185" i="2"/>
  <c r="BR185" i="2"/>
  <c r="BU185" i="2"/>
  <c r="BP185" i="2"/>
  <c r="BY159" i="3" l="1"/>
  <c r="BW159" i="3"/>
  <c r="BS159" i="3"/>
  <c r="CA159" i="3"/>
  <c r="BT159" i="3"/>
  <c r="CB159" i="3"/>
  <c r="BU159" i="3"/>
  <c r="CC159" i="3"/>
  <c r="BV159" i="3"/>
  <c r="AJ185" i="2" l="1"/>
  <c r="AK185" i="2"/>
  <c r="AL185" i="2"/>
  <c r="AM185" i="2"/>
  <c r="AN185" i="2"/>
  <c r="AO185" i="2"/>
  <c r="AP185" i="2"/>
  <c r="AQ185" i="2"/>
  <c r="AR185" i="2"/>
  <c r="AS185" i="2"/>
  <c r="AT185" i="2"/>
  <c r="AU185" i="2"/>
  <c r="AV185" i="2"/>
  <c r="AW185" i="2"/>
  <c r="AX185" i="2"/>
  <c r="AY185" i="2"/>
  <c r="AZ185" i="2"/>
  <c r="BA185" i="2"/>
  <c r="BB185" i="2"/>
  <c r="BC185" i="2"/>
  <c r="CC109" i="1"/>
  <c r="CC113" i="1"/>
  <c r="BS187" i="2" l="1"/>
  <c r="BS185" i="2" s="1"/>
  <c r="BZ177" i="2"/>
  <c r="BY177" i="2"/>
  <c r="BX177" i="2"/>
  <c r="BW177" i="2"/>
  <c r="BV177" i="2"/>
  <c r="BU177" i="2"/>
  <c r="BT177" i="2"/>
  <c r="BS177" i="2"/>
  <c r="BR177" i="2"/>
  <c r="BQ177" i="2"/>
  <c r="BZ169" i="2"/>
  <c r="BY169" i="2"/>
  <c r="BX169" i="2"/>
  <c r="BW169" i="2"/>
  <c r="BW168" i="2" s="1"/>
  <c r="BV169" i="2"/>
  <c r="BV168" i="2" s="1"/>
  <c r="BU169" i="2"/>
  <c r="BT169" i="2"/>
  <c r="BS169" i="2"/>
  <c r="BS168" i="2" s="1"/>
  <c r="BR169" i="2"/>
  <c r="BQ169" i="2"/>
  <c r="BQ168" i="2" s="1"/>
  <c r="AD143" i="2"/>
  <c r="AE143" i="2"/>
  <c r="AF143" i="2"/>
  <c r="AG143" i="2"/>
  <c r="AH143" i="2"/>
  <c r="AI143" i="2"/>
  <c r="AJ143" i="2"/>
  <c r="AK143" i="2"/>
  <c r="AL143" i="2"/>
  <c r="AM143" i="2"/>
  <c r="AN143" i="2"/>
  <c r="AO143" i="2"/>
  <c r="AP143" i="2"/>
  <c r="AQ143" i="2"/>
  <c r="AR143" i="2"/>
  <c r="AS143" i="2"/>
  <c r="AT143" i="2"/>
  <c r="AU143" i="2"/>
  <c r="AV143" i="2"/>
  <c r="AW143" i="2"/>
  <c r="AX143" i="2"/>
  <c r="AY143" i="2"/>
  <c r="AZ143" i="2"/>
  <c r="BA143" i="2"/>
  <c r="BB143" i="2"/>
  <c r="BC143" i="2"/>
  <c r="BD143" i="2"/>
  <c r="BE143" i="2"/>
  <c r="BF143" i="2"/>
  <c r="BG143" i="2"/>
  <c r="BH143" i="2"/>
  <c r="BI143" i="2"/>
  <c r="BJ143" i="2"/>
  <c r="BK143" i="2"/>
  <c r="BL143" i="2"/>
  <c r="BM143" i="2"/>
  <c r="BN143" i="2"/>
  <c r="BO143" i="2"/>
  <c r="BP143" i="2"/>
  <c r="BQ143" i="2"/>
  <c r="BR143" i="2"/>
  <c r="BS143" i="2"/>
  <c r="BT143" i="2"/>
  <c r="BU143" i="2"/>
  <c r="BV143" i="2"/>
  <c r="BW143" i="2"/>
  <c r="AD144" i="2"/>
  <c r="AE144" i="2"/>
  <c r="AF144" i="2"/>
  <c r="AG144" i="2"/>
  <c r="AH144" i="2"/>
  <c r="AI144" i="2"/>
  <c r="AJ144" i="2"/>
  <c r="AK144" i="2"/>
  <c r="AL144" i="2"/>
  <c r="AM144" i="2"/>
  <c r="AN144" i="2"/>
  <c r="AO144" i="2"/>
  <c r="AP144" i="2"/>
  <c r="AQ144" i="2"/>
  <c r="AR144" i="2"/>
  <c r="AS144" i="2"/>
  <c r="AT144" i="2"/>
  <c r="AU144" i="2"/>
  <c r="AV144" i="2"/>
  <c r="AW144" i="2"/>
  <c r="AX144" i="2"/>
  <c r="AY144" i="2"/>
  <c r="AZ144" i="2"/>
  <c r="BA144" i="2"/>
  <c r="BB144" i="2"/>
  <c r="BC144" i="2"/>
  <c r="BD144" i="2"/>
  <c r="BE144" i="2"/>
  <c r="BF144" i="2"/>
  <c r="BG144" i="2"/>
  <c r="BH144" i="2"/>
  <c r="BI144" i="2"/>
  <c r="BJ144" i="2"/>
  <c r="BK144" i="2"/>
  <c r="BL144" i="2"/>
  <c r="BM144" i="2"/>
  <c r="BN144" i="2"/>
  <c r="BO144" i="2"/>
  <c r="BP144" i="2"/>
  <c r="BQ144" i="2"/>
  <c r="BR144" i="2"/>
  <c r="BS144" i="2"/>
  <c r="BT144" i="2"/>
  <c r="BU144" i="2"/>
  <c r="BV144" i="2"/>
  <c r="BW144" i="2"/>
  <c r="AD146" i="2"/>
  <c r="AE146" i="2"/>
  <c r="AF146" i="2"/>
  <c r="AG146" i="2"/>
  <c r="AH146" i="2"/>
  <c r="AI146" i="2"/>
  <c r="AJ146" i="2"/>
  <c r="AK146" i="2"/>
  <c r="AL146" i="2"/>
  <c r="AM146" i="2"/>
  <c r="AN146" i="2"/>
  <c r="AO146" i="2"/>
  <c r="AP146" i="2"/>
  <c r="AQ146" i="2"/>
  <c r="AR146" i="2"/>
  <c r="AS146" i="2"/>
  <c r="AT146" i="2"/>
  <c r="AU146" i="2"/>
  <c r="AV146" i="2"/>
  <c r="AW146" i="2"/>
  <c r="AX146" i="2"/>
  <c r="AY146" i="2"/>
  <c r="AZ146" i="2"/>
  <c r="BA146" i="2"/>
  <c r="BB146" i="2"/>
  <c r="BC146" i="2"/>
  <c r="BD146" i="2"/>
  <c r="BE146" i="2"/>
  <c r="BF146" i="2"/>
  <c r="BG146" i="2"/>
  <c r="BH146" i="2"/>
  <c r="BI146" i="2"/>
  <c r="BJ146" i="2"/>
  <c r="BK146" i="2"/>
  <c r="BL146" i="2"/>
  <c r="BM146" i="2"/>
  <c r="BN146" i="2"/>
  <c r="BO146" i="2"/>
  <c r="BP146" i="2"/>
  <c r="BQ146" i="2"/>
  <c r="BR146" i="2"/>
  <c r="BS146" i="2"/>
  <c r="BT146" i="2"/>
  <c r="BU146" i="2"/>
  <c r="BV146" i="2"/>
  <c r="BW146" i="2"/>
  <c r="AD147" i="2"/>
  <c r="AE147" i="2"/>
  <c r="AF147" i="2"/>
  <c r="AG147" i="2"/>
  <c r="AH147" i="2"/>
  <c r="AI147" i="2"/>
  <c r="AJ147" i="2"/>
  <c r="AK147" i="2"/>
  <c r="AL147" i="2"/>
  <c r="AM147" i="2"/>
  <c r="AN147" i="2"/>
  <c r="AO147" i="2"/>
  <c r="AT147" i="2"/>
  <c r="BW147" i="2"/>
  <c r="AP148" i="2"/>
  <c r="AQ148" i="2"/>
  <c r="AR148" i="2"/>
  <c r="AS148" i="2"/>
  <c r="AT148" i="2"/>
  <c r="AU148" i="2"/>
  <c r="AV148" i="2"/>
  <c r="AW148" i="2"/>
  <c r="AX148" i="2"/>
  <c r="AY148" i="2"/>
  <c r="AZ148" i="2"/>
  <c r="BA148" i="2"/>
  <c r="BB148" i="2"/>
  <c r="BC148" i="2"/>
  <c r="BD148" i="2"/>
  <c r="BE148" i="2"/>
  <c r="BF148" i="2"/>
  <c r="BG148" i="2"/>
  <c r="BH148" i="2"/>
  <c r="BI148" i="2"/>
  <c r="BJ148" i="2"/>
  <c r="BK148" i="2"/>
  <c r="BL148" i="2"/>
  <c r="BM148" i="2"/>
  <c r="BN148" i="2"/>
  <c r="BO148" i="2"/>
  <c r="BP148" i="2"/>
  <c r="BQ148" i="2"/>
  <c r="BR148" i="2"/>
  <c r="BS148" i="2"/>
  <c r="BT148" i="2"/>
  <c r="BU148" i="2"/>
  <c r="BV148" i="2"/>
  <c r="BW148" i="2"/>
  <c r="AC147" i="2"/>
  <c r="AC146" i="2"/>
  <c r="AC144" i="2"/>
  <c r="AC143" i="2"/>
  <c r="AO139" i="2"/>
  <c r="AO138" i="2" s="1"/>
  <c r="AN139" i="2"/>
  <c r="AN148" i="2" s="1"/>
  <c r="AM139" i="2"/>
  <c r="AM138" i="2" s="1"/>
  <c r="AL139" i="2"/>
  <c r="AL138" i="2" s="1"/>
  <c r="AK139" i="2"/>
  <c r="AK138" i="2" s="1"/>
  <c r="AJ139" i="2"/>
  <c r="AJ138" i="2" s="1"/>
  <c r="AI139" i="2"/>
  <c r="AI138" i="2" s="1"/>
  <c r="AH139" i="2"/>
  <c r="AH138" i="2" s="1"/>
  <c r="AG139" i="2"/>
  <c r="AG138" i="2" s="1"/>
  <c r="AF139" i="2"/>
  <c r="AF148" i="2" s="1"/>
  <c r="AE139" i="2"/>
  <c r="AE138" i="2" s="1"/>
  <c r="AD139" i="2"/>
  <c r="AD138" i="2" s="1"/>
  <c r="AC139" i="2"/>
  <c r="AC138" i="2" s="1"/>
  <c r="BS138" i="2"/>
  <c r="BH138" i="2"/>
  <c r="BH137" i="2" s="1"/>
  <c r="BH147" i="2" s="1"/>
  <c r="BV137" i="2"/>
  <c r="BV147" i="2" s="1"/>
  <c r="BU137" i="2"/>
  <c r="BU147" i="2" s="1"/>
  <c r="BT137" i="2"/>
  <c r="BT147" i="2" s="1"/>
  <c r="BR137" i="2"/>
  <c r="BR147" i="2" s="1"/>
  <c r="BQ137" i="2"/>
  <c r="BQ147" i="2" s="1"/>
  <c r="BP137" i="2"/>
  <c r="BP147" i="2" s="1"/>
  <c r="BO137" i="2"/>
  <c r="BO147" i="2" s="1"/>
  <c r="BN137" i="2"/>
  <c r="BN147" i="2" s="1"/>
  <c r="BM137" i="2"/>
  <c r="BM147" i="2" s="1"/>
  <c r="BL137" i="2"/>
  <c r="BL147" i="2" s="1"/>
  <c r="BK137" i="2"/>
  <c r="BK147" i="2" s="1"/>
  <c r="BJ137" i="2"/>
  <c r="BJ147" i="2" s="1"/>
  <c r="BG137" i="2"/>
  <c r="BG147" i="2" s="1"/>
  <c r="BF137" i="2"/>
  <c r="BF147" i="2" s="1"/>
  <c r="BE137" i="2"/>
  <c r="BE147" i="2" s="1"/>
  <c r="BD137" i="2"/>
  <c r="BD147" i="2" s="1"/>
  <c r="BC137" i="2"/>
  <c r="BC147" i="2" s="1"/>
  <c r="BB137" i="2"/>
  <c r="BB147" i="2" s="1"/>
  <c r="BA137" i="2"/>
  <c r="BA147" i="2" s="1"/>
  <c r="AZ137" i="2"/>
  <c r="AZ147" i="2" s="1"/>
  <c r="AY137" i="2"/>
  <c r="AY147" i="2" s="1"/>
  <c r="AX137" i="2"/>
  <c r="AX147" i="2" s="1"/>
  <c r="AW137" i="2"/>
  <c r="AW147" i="2" s="1"/>
  <c r="AV137" i="2"/>
  <c r="AV147" i="2" s="1"/>
  <c r="AV145" i="2" s="1"/>
  <c r="AU137" i="2"/>
  <c r="AU147" i="2" s="1"/>
  <c r="AS137" i="2"/>
  <c r="AS147" i="2" s="1"/>
  <c r="AR137" i="2"/>
  <c r="AR147" i="2" s="1"/>
  <c r="AQ137" i="2"/>
  <c r="AQ147" i="2" s="1"/>
  <c r="AP137" i="2"/>
  <c r="AP147" i="2" s="1"/>
  <c r="AB137" i="2"/>
  <c r="AA137" i="2"/>
  <c r="Z137" i="2"/>
  <c r="Y137" i="2"/>
  <c r="AR133" i="2"/>
  <c r="AQ133" i="2"/>
  <c r="AP133" i="2"/>
  <c r="AO133" i="2"/>
  <c r="AN133" i="2"/>
  <c r="AM133" i="2"/>
  <c r="AL133" i="2"/>
  <c r="AK133" i="2"/>
  <c r="AJ133" i="2"/>
  <c r="AI133" i="2"/>
  <c r="AC133" i="2"/>
  <c r="AD129" i="2"/>
  <c r="AC129" i="2"/>
  <c r="AB129" i="2"/>
  <c r="AA129" i="2"/>
  <c r="Z129" i="2"/>
  <c r="Y129" i="2"/>
  <c r="X129" i="2"/>
  <c r="W129" i="2"/>
  <c r="V129" i="2"/>
  <c r="V128" i="2" s="1"/>
  <c r="U129" i="2"/>
  <c r="T129" i="2"/>
  <c r="AK125" i="2"/>
  <c r="AJ125" i="2"/>
  <c r="AI125" i="2"/>
  <c r="AH125" i="2"/>
  <c r="AG125" i="2"/>
  <c r="AF125" i="2"/>
  <c r="AE125" i="2"/>
  <c r="AD125" i="2"/>
  <c r="AC125" i="2"/>
  <c r="AK124" i="2"/>
  <c r="AJ124" i="2"/>
  <c r="AI124" i="2"/>
  <c r="AH124" i="2"/>
  <c r="AG124" i="2"/>
  <c r="AF124" i="2"/>
  <c r="AE124" i="2"/>
  <c r="AD124" i="2"/>
  <c r="AC124" i="2"/>
  <c r="AK123" i="2"/>
  <c r="AJ123" i="2"/>
  <c r="AI123" i="2"/>
  <c r="AH123" i="2"/>
  <c r="AG123" i="2"/>
  <c r="AF123" i="2"/>
  <c r="AE123" i="2"/>
  <c r="AE122" i="2" s="1"/>
  <c r="AE116" i="2" s="1"/>
  <c r="AD123" i="2"/>
  <c r="AC123" i="2"/>
  <c r="AB123" i="2"/>
  <c r="AB122" i="2" s="1"/>
  <c r="BM122" i="2"/>
  <c r="BM126" i="2" s="1"/>
  <c r="AX126" i="2" s="1"/>
  <c r="AY126" i="2" s="1"/>
  <c r="AZ126" i="2" s="1"/>
  <c r="BA126" i="2" s="1"/>
  <c r="BB126" i="2" s="1"/>
  <c r="BC126" i="2" s="1"/>
  <c r="BD126" i="2" s="1"/>
  <c r="BE126" i="2" s="1"/>
  <c r="BF126" i="2" s="1"/>
  <c r="BG126" i="2" s="1"/>
  <c r="BH126" i="2" s="1"/>
  <c r="BI126" i="2" s="1"/>
  <c r="BJ126" i="2" s="1"/>
  <c r="BK126" i="2" s="1"/>
  <c r="BL126" i="2" s="1"/>
  <c r="AA122" i="2"/>
  <c r="Z122" i="2"/>
  <c r="Y122" i="2"/>
  <c r="X122" i="2"/>
  <c r="W122" i="2"/>
  <c r="V122" i="2"/>
  <c r="U122" i="2"/>
  <c r="AF120" i="2"/>
  <c r="AE120" i="2"/>
  <c r="AD120" i="2"/>
  <c r="AC120" i="2"/>
  <c r="AB120" i="2"/>
  <c r="AB118" i="2" s="1"/>
  <c r="AA120" i="2"/>
  <c r="AA118" i="2" s="1"/>
  <c r="Z120" i="2"/>
  <c r="Z118" i="2" s="1"/>
  <c r="Z116" i="2" s="1"/>
  <c r="AB119" i="2"/>
  <c r="AA119" i="2"/>
  <c r="Y118" i="2"/>
  <c r="Y116" i="2" s="1"/>
  <c r="X118" i="2"/>
  <c r="W118" i="2"/>
  <c r="V118" i="2"/>
  <c r="U118" i="2"/>
  <c r="U128" i="2" s="1"/>
  <c r="T118" i="2"/>
  <c r="R118" i="2"/>
  <c r="R128" i="2" s="1"/>
  <c r="Q118" i="2"/>
  <c r="Q128" i="2" s="1"/>
  <c r="P118" i="2"/>
  <c r="P128" i="2" s="1"/>
  <c r="O118" i="2"/>
  <c r="O128" i="2" s="1"/>
  <c r="N118" i="2"/>
  <c r="N128" i="2" s="1"/>
  <c r="M118" i="2"/>
  <c r="M128" i="2" s="1"/>
  <c r="L118" i="2"/>
  <c r="L128" i="2" s="1"/>
  <c r="AV116" i="2"/>
  <c r="AU116" i="2"/>
  <c r="AT116" i="2"/>
  <c r="AS116" i="2"/>
  <c r="AR116" i="2"/>
  <c r="AQ116" i="2"/>
  <c r="AP116" i="2"/>
  <c r="AO116" i="2"/>
  <c r="AN116" i="2"/>
  <c r="AM116" i="2"/>
  <c r="AL116" i="2"/>
  <c r="AT70" i="2"/>
  <c r="N12" i="2"/>
  <c r="V116" i="2" l="1"/>
  <c r="BL145" i="2"/>
  <c r="AG148" i="2"/>
  <c r="BY168" i="2"/>
  <c r="AO148" i="2"/>
  <c r="AW145" i="2"/>
  <c r="AL148" i="2"/>
  <c r="BD145" i="2"/>
  <c r="AN145" i="2"/>
  <c r="AM148" i="2"/>
  <c r="AI148" i="2"/>
  <c r="AI145" i="2" s="1"/>
  <c r="BR168" i="2"/>
  <c r="BZ168" i="2"/>
  <c r="BX168" i="2"/>
  <c r="U116" i="2"/>
  <c r="AE148" i="2"/>
  <c r="BT145" i="2"/>
  <c r="AD148" i="2"/>
  <c r="BU145" i="2"/>
  <c r="BM145" i="2"/>
  <c r="AO145" i="2"/>
  <c r="AG145" i="2"/>
  <c r="AF145" i="2"/>
  <c r="BE145" i="2"/>
  <c r="BW145" i="2"/>
  <c r="BO145" i="2"/>
  <c r="BG145" i="2"/>
  <c r="AY145" i="2"/>
  <c r="AQ145" i="2"/>
  <c r="AD122" i="2"/>
  <c r="AD116" i="2" s="1"/>
  <c r="AD126" i="2" s="1"/>
  <c r="BV145" i="2"/>
  <c r="BN145" i="2"/>
  <c r="BF145" i="2"/>
  <c r="AX145" i="2"/>
  <c r="AP145" i="2"/>
  <c r="BU168" i="2"/>
  <c r="AF122" i="2"/>
  <c r="AF116" i="2" s="1"/>
  <c r="AF126" i="2" s="1"/>
  <c r="AC148" i="2"/>
  <c r="AC145" i="2" s="1"/>
  <c r="AK148" i="2"/>
  <c r="AK145" i="2" s="1"/>
  <c r="AF138" i="2"/>
  <c r="AJ148" i="2"/>
  <c r="AI122" i="2"/>
  <c r="AI116" i="2" s="1"/>
  <c r="AN138" i="2"/>
  <c r="AH148" i="2"/>
  <c r="AH145" i="2" s="1"/>
  <c r="AJ122" i="2"/>
  <c r="BK145" i="2"/>
  <c r="BC145" i="2"/>
  <c r="AU145" i="2"/>
  <c r="AM145" i="2"/>
  <c r="AE145" i="2"/>
  <c r="BQ145" i="2"/>
  <c r="BA145" i="2"/>
  <c r="AS145" i="2"/>
  <c r="BT168" i="2"/>
  <c r="T128" i="2"/>
  <c r="BR145" i="2"/>
  <c r="BJ145" i="2"/>
  <c r="BB145" i="2"/>
  <c r="AT145" i="2"/>
  <c r="AL145" i="2"/>
  <c r="AD145" i="2"/>
  <c r="BP145" i="2"/>
  <c r="BH145" i="2"/>
  <c r="AZ145" i="2"/>
  <c r="AR145" i="2"/>
  <c r="AJ145" i="2"/>
  <c r="BS137" i="2"/>
  <c r="BS147" i="2" s="1"/>
  <c r="BS145" i="2" s="1"/>
  <c r="AA116" i="2"/>
  <c r="AA126" i="2" s="1"/>
  <c r="AG122" i="2"/>
  <c r="Z128" i="2"/>
  <c r="W128" i="2"/>
  <c r="AC122" i="2"/>
  <c r="AC116" i="2" s="1"/>
  <c r="AK122" i="2"/>
  <c r="AK116" i="2" s="1"/>
  <c r="AK126" i="2" s="1"/>
  <c r="AH122" i="2"/>
  <c r="AH116" i="2" s="1"/>
  <c r="X116" i="2"/>
  <c r="Z126" i="2"/>
  <c r="AG116" i="2"/>
  <c r="AG126" i="2"/>
  <c r="AB116" i="2"/>
  <c r="AB126" i="2" s="1"/>
  <c r="AB128" i="2"/>
  <c r="AJ116" i="2"/>
  <c r="AJ126" i="2" s="1"/>
  <c r="AA128" i="2"/>
  <c r="BI138" i="2"/>
  <c r="BI137" i="2" s="1"/>
  <c r="BI147" i="2" s="1"/>
  <c r="BI145" i="2" s="1"/>
  <c r="AE126" i="2"/>
  <c r="W116" i="2"/>
  <c r="X128" i="2"/>
  <c r="Y128" i="2"/>
  <c r="O35" i="1"/>
  <c r="CD30" i="1"/>
  <c r="CC30" i="1"/>
  <c r="CB30" i="1"/>
  <c r="CA30" i="1"/>
  <c r="BZ30" i="1"/>
  <c r="BY30" i="1"/>
  <c r="BX30" i="1"/>
  <c r="BW30" i="1"/>
  <c r="BV30" i="1"/>
  <c r="BU30" i="1"/>
  <c r="BT30" i="1"/>
  <c r="BS30" i="1"/>
  <c r="BR30" i="1"/>
  <c r="BQ30" i="1"/>
  <c r="BP30" i="1"/>
  <c r="BO30" i="1"/>
  <c r="BN30" i="1"/>
  <c r="BM30" i="1"/>
  <c r="BL30" i="1"/>
  <c r="BK30" i="1"/>
  <c r="BJ30" i="1"/>
  <c r="BI30" i="1"/>
  <c r="BH30" i="1"/>
  <c r="BG30" i="1"/>
  <c r="BF30" i="1"/>
  <c r="BE30" i="1"/>
  <c r="BD30" i="1"/>
  <c r="BC30" i="1"/>
  <c r="BB30" i="1"/>
  <c r="BA30" i="1"/>
  <c r="AZ30" i="1"/>
  <c r="AY30" i="1"/>
  <c r="AX30" i="1"/>
  <c r="AW30" i="1"/>
  <c r="AV30" i="1"/>
  <c r="AU30" i="1"/>
  <c r="AT30" i="1"/>
  <c r="AS30" i="1"/>
  <c r="AR30" i="1"/>
  <c r="AQ30" i="1"/>
  <c r="AP30" i="1"/>
  <c r="AO30" i="1"/>
  <c r="AN30" i="1"/>
  <c r="AM30" i="1"/>
  <c r="AL30" i="1"/>
  <c r="AK30" i="1"/>
  <c r="AJ30" i="1"/>
  <c r="AI30" i="1"/>
  <c r="AH30" i="1"/>
  <c r="AG30" i="1"/>
  <c r="AF30" i="1"/>
  <c r="AE30" i="1"/>
  <c r="AD30" i="1"/>
  <c r="AC30" i="1"/>
  <c r="AB30" i="1"/>
  <c r="AA30" i="1"/>
  <c r="Z30" i="1"/>
  <c r="Y30" i="1"/>
  <c r="X30" i="1"/>
  <c r="W30" i="1"/>
  <c r="BO25" i="1"/>
  <c r="BD25" i="1"/>
  <c r="CD13" i="1"/>
  <c r="CC13" i="1"/>
  <c r="CB13" i="1"/>
  <c r="CA13" i="1"/>
  <c r="BZ13" i="1"/>
  <c r="BY13" i="1"/>
  <c r="BX13" i="1"/>
  <c r="BW13" i="1"/>
  <c r="BV13" i="1"/>
  <c r="BU13" i="1"/>
  <c r="BT13" i="1"/>
  <c r="BS13" i="1"/>
  <c r="BR13" i="1"/>
  <c r="BQ13" i="1"/>
  <c r="BP13" i="1"/>
  <c r="BN13" i="1"/>
  <c r="BM13" i="1"/>
  <c r="BL13" i="1"/>
  <c r="BK13" i="1"/>
  <c r="BJ13" i="1"/>
  <c r="BI13" i="1"/>
  <c r="BH13" i="1"/>
  <c r="BG13" i="1"/>
  <c r="BF13" i="1"/>
  <c r="BE13" i="1"/>
  <c r="BD13" i="1"/>
  <c r="BC13" i="1"/>
  <c r="BB13" i="1"/>
  <c r="BA13" i="1"/>
  <c r="AZ13" i="1"/>
  <c r="AY13" i="1"/>
  <c r="AX13" i="1"/>
  <c r="AW13" i="1"/>
  <c r="AV13" i="1"/>
  <c r="AU13" i="1"/>
  <c r="AT13" i="1"/>
  <c r="AS13" i="1"/>
  <c r="AR13" i="1"/>
  <c r="AQ13" i="1"/>
  <c r="AP13" i="1"/>
  <c r="AO13" i="1"/>
  <c r="AN13" i="1"/>
  <c r="AM13" i="1"/>
  <c r="AL13" i="1"/>
  <c r="AK13" i="1"/>
  <c r="AJ13" i="1"/>
  <c r="AI13" i="1"/>
  <c r="AH13" i="1"/>
  <c r="AG13" i="1"/>
  <c r="AF13" i="1"/>
  <c r="AE13" i="1"/>
  <c r="AD13" i="1"/>
  <c r="AC13" i="1"/>
  <c r="AB13" i="1"/>
  <c r="AA13" i="1"/>
  <c r="Z13" i="1"/>
  <c r="Y13" i="1"/>
  <c r="X13" i="1"/>
  <c r="W13" i="1"/>
  <c r="V13" i="1"/>
  <c r="U13" i="1"/>
  <c r="T13" i="1"/>
  <c r="S13" i="1"/>
  <c r="R13" i="1"/>
  <c r="Q13" i="1"/>
  <c r="P13" i="1"/>
  <c r="O13" i="1"/>
  <c r="N13" i="1"/>
  <c r="M13" i="1"/>
  <c r="L13" i="1"/>
  <c r="K13" i="1"/>
  <c r="J13" i="1"/>
  <c r="I13" i="1"/>
  <c r="R9" i="1"/>
  <c r="Q9" i="1"/>
  <c r="P9" i="1"/>
  <c r="O9" i="1"/>
  <c r="N9" i="1"/>
  <c r="AC126" i="2" l="1"/>
  <c r="AI126" i="2"/>
  <c r="AH126" i="2"/>
  <c r="P8" i="1"/>
  <c r="Q8" i="1"/>
  <c r="O8" i="1"/>
  <c r="R8" i="1"/>
  <c r="N8" i="1"/>
  <c r="AS116" i="1"/>
  <c r="AT116" i="1" s="1"/>
  <c r="CB113" i="1"/>
  <c r="CA113" i="1"/>
  <c r="BZ113" i="1"/>
  <c r="BY113" i="1"/>
  <c r="BX113" i="1"/>
  <c r="BW113" i="1"/>
  <c r="BV113" i="1"/>
  <c r="BU113" i="1"/>
  <c r="BT113" i="1"/>
  <c r="BS113" i="1"/>
  <c r="BR113" i="1"/>
  <c r="BQ113" i="1"/>
  <c r="BP113" i="1"/>
  <c r="BO113" i="1"/>
  <c r="BN113" i="1"/>
  <c r="BM113" i="1"/>
  <c r="BL113" i="1"/>
  <c r="BK113" i="1"/>
  <c r="BJ113" i="1"/>
  <c r="BI113" i="1"/>
  <c r="BH113" i="1"/>
  <c r="BG113" i="1"/>
  <c r="BF113" i="1"/>
  <c r="BE113" i="1"/>
  <c r="BD113" i="1"/>
  <c r="BC113" i="1"/>
  <c r="BB113" i="1"/>
  <c r="BA113" i="1"/>
  <c r="AZ113" i="1"/>
  <c r="AY113" i="1"/>
  <c r="AX113" i="1"/>
  <c r="AW113" i="1"/>
  <c r="AV113" i="1"/>
  <c r="AR113" i="1"/>
  <c r="AQ113" i="1"/>
  <c r="AP113" i="1"/>
  <c r="AO113" i="1"/>
  <c r="AN113" i="1"/>
  <c r="AM113" i="1"/>
  <c r="AL113" i="1"/>
  <c r="AK113" i="1"/>
  <c r="AJ113" i="1"/>
  <c r="AI113" i="1"/>
  <c r="AH113" i="1"/>
  <c r="AG113" i="1"/>
  <c r="AF113" i="1"/>
  <c r="AE113" i="1"/>
  <c r="AD113" i="1"/>
  <c r="AC113" i="1"/>
  <c r="BQ112" i="1"/>
  <c r="BP112" i="1"/>
  <c r="CB109" i="1"/>
  <c r="CA109" i="1"/>
  <c r="BZ109" i="1"/>
  <c r="BY109" i="1"/>
  <c r="BX109" i="1"/>
  <c r="BW109" i="1"/>
  <c r="BV109" i="1"/>
  <c r="BU109" i="1"/>
  <c r="BT109" i="1"/>
  <c r="BS109" i="1"/>
  <c r="BR109" i="1"/>
  <c r="BQ109" i="1"/>
  <c r="BP109" i="1"/>
  <c r="BO109" i="1"/>
  <c r="BN109" i="1"/>
  <c r="BM109" i="1"/>
  <c r="BL109" i="1"/>
  <c r="BK109" i="1"/>
  <c r="BJ109" i="1"/>
  <c r="BI109" i="1"/>
  <c r="BH109" i="1"/>
  <c r="BG109" i="1"/>
  <c r="BF109" i="1"/>
  <c r="BE109" i="1"/>
  <c r="BD109" i="1"/>
  <c r="BC109" i="1"/>
  <c r="BB109" i="1"/>
  <c r="BA109" i="1"/>
  <c r="AZ109" i="1"/>
  <c r="AY109" i="1"/>
  <c r="AX109" i="1"/>
  <c r="AW109" i="1"/>
  <c r="AV109" i="1"/>
  <c r="AR109" i="1"/>
  <c r="AQ109" i="1"/>
  <c r="AP109" i="1"/>
  <c r="AO109" i="1"/>
  <c r="AN109" i="1"/>
  <c r="AM109" i="1"/>
  <c r="AL109" i="1"/>
  <c r="AK109" i="1"/>
  <c r="AJ109" i="1"/>
  <c r="AI109" i="1"/>
  <c r="AH109" i="1"/>
  <c r="AG109" i="1"/>
  <c r="AF109" i="1"/>
  <c r="BS101" i="1"/>
  <c r="BR101" i="1"/>
  <c r="BQ101" i="1"/>
  <c r="BP101" i="1"/>
  <c r="AS113" i="1" l="1"/>
  <c r="AS109" i="1"/>
  <c r="AT109" i="1"/>
  <c r="AT113" i="1"/>
  <c r="AU116" i="1"/>
  <c r="CB155" i="3"/>
  <c r="CA155" i="3"/>
  <c r="BZ155" i="3"/>
  <c r="BY155" i="3"/>
  <c r="BX155" i="3"/>
  <c r="BW155" i="3"/>
  <c r="BV155" i="3"/>
  <c r="BU155" i="3"/>
  <c r="BT155" i="3"/>
  <c r="BS155" i="3"/>
  <c r="BR155" i="3"/>
  <c r="BQ155" i="3"/>
  <c r="BP155" i="3"/>
  <c r="BO155" i="3"/>
  <c r="BN155" i="3"/>
  <c r="BM155" i="3"/>
  <c r="BL155" i="3"/>
  <c r="BK155" i="3"/>
  <c r="BJ155" i="3"/>
  <c r="BI155" i="3"/>
  <c r="BH155" i="3"/>
  <c r="BG155" i="3"/>
  <c r="BF155" i="3"/>
  <c r="BE155" i="3"/>
  <c r="BD155" i="3"/>
  <c r="BC155" i="3"/>
  <c r="BB155" i="3"/>
  <c r="BA155" i="3"/>
  <c r="AZ155" i="3"/>
  <c r="AY155" i="3"/>
  <c r="AX155" i="3"/>
  <c r="AW155" i="3"/>
  <c r="AV155" i="3"/>
  <c r="AU155" i="3"/>
  <c r="AT155" i="3"/>
  <c r="AS155" i="3"/>
  <c r="AR155" i="3"/>
  <c r="AQ155" i="3"/>
  <c r="AP155" i="3"/>
  <c r="AO155" i="3"/>
  <c r="AN155" i="3"/>
  <c r="AM155" i="3"/>
  <c r="AL155" i="3"/>
  <c r="AK155" i="3"/>
  <c r="AJ155" i="3"/>
  <c r="AI155" i="3"/>
  <c r="AH155" i="3"/>
  <c r="AG155" i="3"/>
  <c r="AF155" i="3"/>
  <c r="AE155" i="3"/>
  <c r="AD155" i="3"/>
  <c r="AC155" i="3"/>
  <c r="AB155" i="3"/>
  <c r="AA151" i="3"/>
  <c r="BZ149" i="3"/>
  <c r="BY149" i="3"/>
  <c r="BX149" i="3"/>
  <c r="BW149" i="3"/>
  <c r="BV149" i="3"/>
  <c r="BU149" i="3"/>
  <c r="BT149" i="3"/>
  <c r="BS149" i="3"/>
  <c r="BR149" i="3"/>
  <c r="BQ149" i="3"/>
  <c r="BP149" i="3"/>
  <c r="BO149" i="3"/>
  <c r="BN149" i="3"/>
  <c r="BM149" i="3"/>
  <c r="BL149" i="3"/>
  <c r="BK149" i="3"/>
  <c r="BJ149" i="3"/>
  <c r="BI149" i="3"/>
  <c r="BH149" i="3"/>
  <c r="BG149" i="3"/>
  <c r="BF149" i="3"/>
  <c r="BE149" i="3"/>
  <c r="BD149" i="3"/>
  <c r="BC149" i="3"/>
  <c r="BB149" i="3"/>
  <c r="BA149" i="3"/>
  <c r="AZ149" i="3"/>
  <c r="AY149" i="3"/>
  <c r="AX149" i="3"/>
  <c r="BZ148" i="3"/>
  <c r="BY148" i="3"/>
  <c r="BX148" i="3"/>
  <c r="BW148" i="3"/>
  <c r="BV148" i="3"/>
  <c r="BU148" i="3"/>
  <c r="BT148" i="3"/>
  <c r="BS148" i="3"/>
  <c r="BR148" i="3"/>
  <c r="BQ148" i="3"/>
  <c r="BO148" i="3"/>
  <c r="BN148" i="3"/>
  <c r="BM148" i="3"/>
  <c r="BL148" i="3"/>
  <c r="BK148" i="3"/>
  <c r="BJ148" i="3"/>
  <c r="BI148" i="3"/>
  <c r="BH148" i="3"/>
  <c r="BG148" i="3"/>
  <c r="BF148" i="3"/>
  <c r="BE148" i="3"/>
  <c r="BD148" i="3"/>
  <c r="BC148" i="3"/>
  <c r="BB148" i="3"/>
  <c r="BA148" i="3"/>
  <c r="AZ148" i="3"/>
  <c r="AY148" i="3"/>
  <c r="AX148" i="3"/>
  <c r="AW148" i="3"/>
  <c r="AV148" i="3"/>
  <c r="AU148" i="3"/>
  <c r="AT148" i="3"/>
  <c r="AS148" i="3"/>
  <c r="AR148" i="3"/>
  <c r="AQ148" i="3"/>
  <c r="AP148" i="3"/>
  <c r="AO148" i="3"/>
  <c r="AN148" i="3"/>
  <c r="AM148" i="3"/>
  <c r="AL148" i="3"/>
  <c r="AI148" i="3"/>
  <c r="AH148" i="3"/>
  <c r="AG148" i="3"/>
  <c r="AF148" i="3"/>
  <c r="AE148" i="3"/>
  <c r="AD148" i="3"/>
  <c r="AC148" i="3"/>
  <c r="AB148" i="3"/>
  <c r="AA148" i="3"/>
  <c r="Z148" i="3"/>
  <c r="Y148" i="3"/>
  <c r="X148" i="3"/>
  <c r="W148" i="3"/>
  <c r="BZ147" i="3"/>
  <c r="BY147" i="3"/>
  <c r="BX147" i="3"/>
  <c r="BW147" i="3"/>
  <c r="BV147" i="3"/>
  <c r="BU147" i="3"/>
  <c r="BT147" i="3"/>
  <c r="BS147" i="3"/>
  <c r="BR147" i="3"/>
  <c r="BQ147" i="3"/>
  <c r="BP147" i="3"/>
  <c r="BO147" i="3"/>
  <c r="BN147" i="3"/>
  <c r="BM147" i="3"/>
  <c r="BL147" i="3"/>
  <c r="BK147" i="3"/>
  <c r="BJ147" i="3"/>
  <c r="BI147" i="3"/>
  <c r="BH147" i="3"/>
  <c r="BG147" i="3"/>
  <c r="BF147" i="3"/>
  <c r="BE147" i="3"/>
  <c r="BD147" i="3"/>
  <c r="BC147" i="3"/>
  <c r="BB147" i="3"/>
  <c r="BA147" i="3"/>
  <c r="AZ147" i="3"/>
  <c r="AY147" i="3"/>
  <c r="AX147" i="3"/>
  <c r="AW147" i="3"/>
  <c r="AV147" i="3"/>
  <c r="AU147" i="3"/>
  <c r="AT147" i="3"/>
  <c r="AS147" i="3"/>
  <c r="AR147" i="3"/>
  <c r="AQ147" i="3"/>
  <c r="AP147" i="3"/>
  <c r="AO147" i="3"/>
  <c r="AN147" i="3"/>
  <c r="AM147" i="3"/>
  <c r="AL147" i="3"/>
  <c r="AE147" i="3"/>
  <c r="BZ146" i="3"/>
  <c r="BY146" i="3"/>
  <c r="BX146" i="3"/>
  <c r="BW146" i="3"/>
  <c r="BV146" i="3"/>
  <c r="BU146" i="3"/>
  <c r="BT146" i="3"/>
  <c r="BS146" i="3"/>
  <c r="BR146" i="3"/>
  <c r="BQ146" i="3"/>
  <c r="BP146" i="3"/>
  <c r="BO146" i="3"/>
  <c r="BN146" i="3"/>
  <c r="BM146" i="3"/>
  <c r="BL146" i="3"/>
  <c r="BK146" i="3"/>
  <c r="BJ146" i="3"/>
  <c r="BI146" i="3"/>
  <c r="BH146" i="3"/>
  <c r="BG146" i="3"/>
  <c r="BF146" i="3"/>
  <c r="BE146" i="3"/>
  <c r="BD146" i="3"/>
  <c r="BC146" i="3"/>
  <c r="BB146" i="3"/>
  <c r="BA146" i="3"/>
  <c r="AZ146" i="3"/>
  <c r="AY146" i="3"/>
  <c r="AX146" i="3"/>
  <c r="AW146" i="3"/>
  <c r="AV146" i="3"/>
  <c r="AU146" i="3"/>
  <c r="AT146" i="3"/>
  <c r="AS146" i="3"/>
  <c r="AR146" i="3"/>
  <c r="AQ146" i="3"/>
  <c r="AP146" i="3"/>
  <c r="AO146" i="3"/>
  <c r="AN146" i="3"/>
  <c r="AM146" i="3"/>
  <c r="AL146" i="3"/>
  <c r="AK146" i="3"/>
  <c r="AJ146" i="3"/>
  <c r="AI146" i="3"/>
  <c r="AH146" i="3"/>
  <c r="AG146" i="3"/>
  <c r="AF146" i="3"/>
  <c r="AE146" i="3"/>
  <c r="AD146" i="3"/>
  <c r="AC146" i="3"/>
  <c r="AB146" i="3"/>
  <c r="AA146" i="3"/>
  <c r="Z146" i="3"/>
  <c r="Y146" i="3"/>
  <c r="X146" i="3"/>
  <c r="W146" i="3"/>
  <c r="BZ144" i="3"/>
  <c r="BY144" i="3"/>
  <c r="BX144" i="3"/>
  <c r="BW144" i="3"/>
  <c r="BV144" i="3"/>
  <c r="BU144" i="3"/>
  <c r="BT144" i="3"/>
  <c r="BS144" i="3"/>
  <c r="BR144" i="3"/>
  <c r="BQ144" i="3"/>
  <c r="BP144" i="3"/>
  <c r="BO144" i="3"/>
  <c r="BN144" i="3"/>
  <c r="BM144" i="3"/>
  <c r="BL144" i="3"/>
  <c r="BK144" i="3"/>
  <c r="BJ144" i="3"/>
  <c r="BI144" i="3"/>
  <c r="BH144" i="3"/>
  <c r="BG144" i="3"/>
  <c r="BF144" i="3"/>
  <c r="BE144" i="3"/>
  <c r="BD144" i="3"/>
  <c r="BC144" i="3"/>
  <c r="BB144" i="3"/>
  <c r="BA144" i="3"/>
  <c r="AZ144" i="3"/>
  <c r="AY144" i="3"/>
  <c r="AX144" i="3"/>
  <c r="AW144" i="3"/>
  <c r="AV144" i="3"/>
  <c r="AU144" i="3"/>
  <c r="AT144" i="3"/>
  <c r="AS144" i="3"/>
  <c r="AR144" i="3"/>
  <c r="AQ144" i="3"/>
  <c r="AP144" i="3"/>
  <c r="AO144" i="3"/>
  <c r="AN144" i="3"/>
  <c r="AM144" i="3"/>
  <c r="AL144" i="3"/>
  <c r="AK144" i="3"/>
  <c r="AJ144" i="3"/>
  <c r="AI144" i="3"/>
  <c r="AH144" i="3"/>
  <c r="AG144" i="3"/>
  <c r="AF144" i="3"/>
  <c r="AE144" i="3"/>
  <c r="AD144" i="3"/>
  <c r="AC144" i="3"/>
  <c r="AB144" i="3"/>
  <c r="AA144" i="3"/>
  <c r="Z144" i="3"/>
  <c r="Y144" i="3"/>
  <c r="X144" i="3"/>
  <c r="W144" i="3"/>
  <c r="BX143" i="3"/>
  <c r="BW143" i="3"/>
  <c r="BV143" i="3"/>
  <c r="BU143" i="3"/>
  <c r="BT143" i="3"/>
  <c r="BS143" i="3"/>
  <c r="BR143" i="3"/>
  <c r="BQ143" i="3"/>
  <c r="BP143" i="3"/>
  <c r="BN143" i="3"/>
  <c r="BM143" i="3"/>
  <c r="BL143" i="3"/>
  <c r="BK143" i="3"/>
  <c r="BJ143" i="3"/>
  <c r="BI143" i="3"/>
  <c r="BH143" i="3"/>
  <c r="BG143" i="3"/>
  <c r="BF143" i="3"/>
  <c r="BE143" i="3"/>
  <c r="BD143" i="3"/>
  <c r="BC143" i="3"/>
  <c r="BB143" i="3"/>
  <c r="BA143" i="3"/>
  <c r="AZ143" i="3"/>
  <c r="AY143" i="3"/>
  <c r="AX143" i="3"/>
  <c r="AW143" i="3"/>
  <c r="AV143" i="3"/>
  <c r="AU143" i="3"/>
  <c r="AT143" i="3"/>
  <c r="AQ143" i="3"/>
  <c r="AP143" i="3"/>
  <c r="AH143" i="3"/>
  <c r="AG143" i="3"/>
  <c r="AF143" i="3"/>
  <c r="AE143" i="3"/>
  <c r="AC143" i="3"/>
  <c r="AB143" i="3"/>
  <c r="AJ137" i="3"/>
  <c r="AJ148" i="3" s="1"/>
  <c r="AJ136" i="3"/>
  <c r="AK136" i="3" s="1"/>
  <c r="AI135" i="3"/>
  <c r="AI147" i="3" s="1"/>
  <c r="AH135" i="3"/>
  <c r="AH147" i="3" s="1"/>
  <c r="AG135" i="3"/>
  <c r="AG147" i="3" s="1"/>
  <c r="AF135" i="3"/>
  <c r="AF147" i="3" s="1"/>
  <c r="AD135" i="3"/>
  <c r="AD147" i="3" s="1"/>
  <c r="AC135" i="3"/>
  <c r="AC147" i="3" s="1"/>
  <c r="AB135" i="3"/>
  <c r="AB147" i="3" s="1"/>
  <c r="AA135" i="3"/>
  <c r="AA147" i="3" s="1"/>
  <c r="Z135" i="3"/>
  <c r="Z147" i="3" s="1"/>
  <c r="Y135" i="3"/>
  <c r="Y147" i="3" s="1"/>
  <c r="X135" i="3"/>
  <c r="X147" i="3" s="1"/>
  <c r="W135" i="3"/>
  <c r="W147" i="3" s="1"/>
  <c r="BP133" i="3"/>
  <c r="BP148" i="3" s="1"/>
  <c r="AM126" i="3"/>
  <c r="AL126" i="3"/>
  <c r="AK126" i="3"/>
  <c r="AJ126" i="3"/>
  <c r="AO125" i="3"/>
  <c r="AO143" i="3" s="1"/>
  <c r="AN125" i="3"/>
  <c r="CB123" i="3"/>
  <c r="CB116" i="3" s="1"/>
  <c r="CB115" i="3" s="1"/>
  <c r="CA123" i="3"/>
  <c r="CA116" i="3" s="1"/>
  <c r="CA115" i="3" s="1"/>
  <c r="BZ123" i="3"/>
  <c r="BY123" i="3"/>
  <c r="AX123" i="3"/>
  <c r="AR122" i="3"/>
  <c r="AR143" i="3" s="1"/>
  <c r="AI122" i="3"/>
  <c r="AD122" i="3"/>
  <c r="AD143" i="3" s="1"/>
  <c r="AA122" i="3"/>
  <c r="AA143" i="3" s="1"/>
  <c r="Z122" i="3"/>
  <c r="Z143" i="3" s="1"/>
  <c r="AB120" i="3"/>
  <c r="AA120" i="3"/>
  <c r="Z120" i="3"/>
  <c r="AB117" i="3"/>
  <c r="AA117" i="3"/>
  <c r="Z117" i="3"/>
  <c r="Y117" i="3"/>
  <c r="Y122" i="3" s="1"/>
  <c r="Y143" i="3" s="1"/>
  <c r="X117" i="3"/>
  <c r="X122" i="3" s="1"/>
  <c r="X116" i="3" s="1"/>
  <c r="X115" i="3" s="1"/>
  <c r="W117" i="3"/>
  <c r="W122" i="3" s="1"/>
  <c r="U117" i="3"/>
  <c r="T117" i="3"/>
  <c r="S117" i="3"/>
  <c r="R117" i="3"/>
  <c r="Q117" i="3"/>
  <c r="P117" i="3"/>
  <c r="O117" i="3"/>
  <c r="BX116" i="3"/>
  <c r="BX115" i="3" s="1"/>
  <c r="BW116" i="3"/>
  <c r="BW115" i="3" s="1"/>
  <c r="BV116" i="3"/>
  <c r="BV115" i="3" s="1"/>
  <c r="BU116" i="3"/>
  <c r="BU115" i="3" s="1"/>
  <c r="BT116" i="3"/>
  <c r="BT115" i="3" s="1"/>
  <c r="BS116" i="3"/>
  <c r="BS115" i="3" s="1"/>
  <c r="BR116" i="3"/>
  <c r="BR115" i="3" s="1"/>
  <c r="BQ116" i="3"/>
  <c r="BQ115" i="3" s="1"/>
  <c r="BP116" i="3"/>
  <c r="BP115" i="3" s="1"/>
  <c r="BO116" i="3"/>
  <c r="BO115" i="3" s="1"/>
  <c r="BN116" i="3"/>
  <c r="BN115" i="3" s="1"/>
  <c r="BM116" i="3"/>
  <c r="BM115" i="3" s="1"/>
  <c r="BL116" i="3"/>
  <c r="BL115" i="3" s="1"/>
  <c r="BK116" i="3"/>
  <c r="BK115" i="3" s="1"/>
  <c r="BJ116" i="3"/>
  <c r="BJ115" i="3" s="1"/>
  <c r="BI116" i="3"/>
  <c r="BI115" i="3" s="1"/>
  <c r="BH116" i="3"/>
  <c r="BH115" i="3" s="1"/>
  <c r="BG116" i="3"/>
  <c r="BG115" i="3" s="1"/>
  <c r="BF116" i="3"/>
  <c r="BF115" i="3" s="1"/>
  <c r="BE116" i="3"/>
  <c r="BE115" i="3" s="1"/>
  <c r="BD116" i="3"/>
  <c r="BD115" i="3" s="1"/>
  <c r="BC116" i="3"/>
  <c r="BC115" i="3" s="1"/>
  <c r="BB116" i="3"/>
  <c r="BB115" i="3" s="1"/>
  <c r="BA116" i="3"/>
  <c r="BA115" i="3" s="1"/>
  <c r="AZ116" i="3"/>
  <c r="AZ115" i="3" s="1"/>
  <c r="AY116" i="3"/>
  <c r="AY115" i="3" s="1"/>
  <c r="AX116" i="3"/>
  <c r="AX115" i="3" s="1"/>
  <c r="AW116" i="3"/>
  <c r="AW115" i="3" s="1"/>
  <c r="AV116" i="3"/>
  <c r="AV115" i="3" s="1"/>
  <c r="AU116" i="3"/>
  <c r="AU115" i="3" s="1"/>
  <c r="AT116" i="3"/>
  <c r="AT115" i="3" s="1"/>
  <c r="AQ116" i="3"/>
  <c r="AQ115" i="3" s="1"/>
  <c r="AP116" i="3"/>
  <c r="AP115" i="3" s="1"/>
  <c r="AO116" i="3"/>
  <c r="AO115" i="3" s="1"/>
  <c r="AH116" i="3"/>
  <c r="AH115" i="3" s="1"/>
  <c r="AG116" i="3"/>
  <c r="AG115" i="3" s="1"/>
  <c r="AF116" i="3"/>
  <c r="AF115" i="3" s="1"/>
  <c r="AE116" i="3"/>
  <c r="AE115" i="3" s="1"/>
  <c r="AC116" i="3"/>
  <c r="AC115" i="3" s="1"/>
  <c r="AB116" i="3"/>
  <c r="AB115" i="3" s="1"/>
  <c r="AT110" i="3"/>
  <c r="AU110" i="3" s="1"/>
  <c r="AV110" i="3" s="1"/>
  <c r="AW110" i="3" s="1"/>
  <c r="AX110" i="3" s="1"/>
  <c r="AY110" i="3" s="1"/>
  <c r="AZ110" i="3" s="1"/>
  <c r="BA110" i="3" s="1"/>
  <c r="BB110" i="3" s="1"/>
  <c r="AS110" i="3"/>
  <c r="AR110" i="3"/>
  <c r="AQ110" i="3"/>
  <c r="AP110" i="3"/>
  <c r="AO110" i="3"/>
  <c r="AN110" i="3"/>
  <c r="AM110" i="3"/>
  <c r="AL110" i="3"/>
  <c r="AK110" i="3"/>
  <c r="AJ110" i="3"/>
  <c r="AI110" i="3"/>
  <c r="AH110" i="3"/>
  <c r="AG110" i="3"/>
  <c r="AF110" i="3"/>
  <c r="AE110" i="3"/>
  <c r="AD110" i="3"/>
  <c r="AC110" i="3"/>
  <c r="AB110" i="3" s="1"/>
  <c r="AA110" i="3" s="1"/>
  <c r="Z110" i="3" s="1"/>
  <c r="Y110" i="3" s="1"/>
  <c r="X110" i="3" s="1"/>
  <c r="W110" i="3" s="1"/>
  <c r="V110" i="3" s="1"/>
  <c r="U110" i="3" s="1"/>
  <c r="T110" i="3" s="1"/>
  <c r="S110" i="3" s="1"/>
  <c r="Q106" i="3"/>
  <c r="R106" i="3" s="1"/>
  <c r="CB68" i="3"/>
  <c r="BZ68" i="3"/>
  <c r="BX68" i="3"/>
  <c r="BV68" i="3"/>
  <c r="BU68" i="3"/>
  <c r="BT68" i="3"/>
  <c r="BS68" i="3"/>
  <c r="BR68" i="3"/>
  <c r="BQ68" i="3"/>
  <c r="BP68" i="3"/>
  <c r="BO68" i="3"/>
  <c r="BN68" i="3"/>
  <c r="BM68" i="3"/>
  <c r="BL68" i="3"/>
  <c r="BK68" i="3"/>
  <c r="BJ68" i="3"/>
  <c r="BI68" i="3"/>
  <c r="BH68" i="3"/>
  <c r="BG68" i="3"/>
  <c r="BF68" i="3"/>
  <c r="BE68" i="3"/>
  <c r="BD68" i="3"/>
  <c r="BC68" i="3"/>
  <c r="BB68" i="3"/>
  <c r="BA68" i="3"/>
  <c r="AZ68" i="3"/>
  <c r="AY68" i="3"/>
  <c r="AX68" i="3"/>
  <c r="AW68" i="3"/>
  <c r="AV68" i="3"/>
  <c r="AU68" i="3"/>
  <c r="AT68" i="3"/>
  <c r="AS68" i="3"/>
  <c r="AR68" i="3"/>
  <c r="AQ68" i="3"/>
  <c r="AP68" i="3"/>
  <c r="AO68" i="3"/>
  <c r="AN68" i="3"/>
  <c r="AM68" i="3"/>
  <c r="CE67" i="3"/>
  <c r="CD67" i="3"/>
  <c r="CC67" i="3"/>
  <c r="CB67" i="3"/>
  <c r="CA67" i="3"/>
  <c r="BZ67" i="3"/>
  <c r="BY67" i="3"/>
  <c r="BX67" i="3"/>
  <c r="BW67" i="3"/>
  <c r="BV67" i="3"/>
  <c r="BU67" i="3"/>
  <c r="BT67" i="3"/>
  <c r="BS67" i="3"/>
  <c r="BR67" i="3"/>
  <c r="BQ67" i="3"/>
  <c r="BP67" i="3"/>
  <c r="BO67" i="3"/>
  <c r="BN67" i="3"/>
  <c r="BM67" i="3"/>
  <c r="BL67" i="3"/>
  <c r="BK67" i="3"/>
  <c r="BJ67" i="3"/>
  <c r="BI67" i="3"/>
  <c r="BH67" i="3"/>
  <c r="BG67" i="3"/>
  <c r="BF67" i="3"/>
  <c r="BE67" i="3"/>
  <c r="BD67" i="3"/>
  <c r="BC67" i="3"/>
  <c r="BB67" i="3"/>
  <c r="BA67" i="3"/>
  <c r="AZ67" i="3"/>
  <c r="AY67" i="3"/>
  <c r="AX67" i="3"/>
  <c r="AW67" i="3"/>
  <c r="AV67" i="3"/>
  <c r="AU67" i="3"/>
  <c r="AT67" i="3"/>
  <c r="AS67" i="3"/>
  <c r="AR67" i="3"/>
  <c r="AQ67" i="3"/>
  <c r="AP67" i="3"/>
  <c r="AO67" i="3"/>
  <c r="AN67" i="3"/>
  <c r="AM67" i="3"/>
  <c r="AL67" i="3"/>
  <c r="AK67" i="3"/>
  <c r="AJ67" i="3"/>
  <c r="AI67" i="3"/>
  <c r="AH67" i="3"/>
  <c r="AG67" i="3"/>
  <c r="AF67" i="3"/>
  <c r="AE67" i="3"/>
  <c r="AD67" i="3"/>
  <c r="AC67" i="3"/>
  <c r="AB67" i="3"/>
  <c r="AA67" i="3"/>
  <c r="Z67" i="3"/>
  <c r="Y67" i="3"/>
  <c r="X67" i="3"/>
  <c r="W67" i="3"/>
  <c r="CE66" i="3"/>
  <c r="CD66" i="3"/>
  <c r="CC66" i="3"/>
  <c r="CB66" i="3"/>
  <c r="CA66" i="3"/>
  <c r="BZ66" i="3"/>
  <c r="BY66" i="3"/>
  <c r="BX66" i="3"/>
  <c r="BW66" i="3"/>
  <c r="BV66" i="3"/>
  <c r="BU66" i="3"/>
  <c r="BT66" i="3"/>
  <c r="BS66" i="3"/>
  <c r="BR66" i="3"/>
  <c r="BQ66" i="3"/>
  <c r="BP66" i="3"/>
  <c r="BO66" i="3"/>
  <c r="BN66" i="3"/>
  <c r="BM66" i="3"/>
  <c r="BD66" i="3"/>
  <c r="AU66" i="3"/>
  <c r="AS66" i="3"/>
  <c r="AR66" i="3"/>
  <c r="AQ66" i="3"/>
  <c r="AP66" i="3"/>
  <c r="AO66" i="3"/>
  <c r="AN66" i="3"/>
  <c r="AM66" i="3"/>
  <c r="AL66" i="3"/>
  <c r="AK66" i="3"/>
  <c r="AJ66" i="3"/>
  <c r="AI66" i="3"/>
  <c r="AH66" i="3"/>
  <c r="AG66" i="3"/>
  <c r="AF66" i="3"/>
  <c r="AE66" i="3"/>
  <c r="AD66" i="3"/>
  <c r="AC66" i="3"/>
  <c r="AB66" i="3"/>
  <c r="AA66" i="3"/>
  <c r="Z66" i="3"/>
  <c r="Y66" i="3"/>
  <c r="X66" i="3"/>
  <c r="W66" i="3"/>
  <c r="V66" i="3"/>
  <c r="U66" i="3"/>
  <c r="T66" i="3"/>
  <c r="S66" i="3"/>
  <c r="R66" i="3"/>
  <c r="Q66" i="3"/>
  <c r="AL39" i="3"/>
  <c r="AK39" i="3"/>
  <c r="AJ39" i="3"/>
  <c r="AI39" i="3"/>
  <c r="AH39" i="3"/>
  <c r="AG39" i="3"/>
  <c r="AF39" i="3"/>
  <c r="AE39" i="3"/>
  <c r="AD39" i="3"/>
  <c r="AC39" i="3"/>
  <c r="AB39" i="3"/>
  <c r="AA39" i="3"/>
  <c r="AA37" i="3" s="1"/>
  <c r="Z39" i="3"/>
  <c r="Z37" i="3" s="1"/>
  <c r="Y39" i="3"/>
  <c r="Y37" i="3" s="1"/>
  <c r="X39" i="3"/>
  <c r="X37" i="3" s="1"/>
  <c r="W39" i="3"/>
  <c r="W37" i="3" s="1"/>
  <c r="BY34" i="3"/>
  <c r="BY68" i="3" s="1"/>
  <c r="BW34" i="3"/>
  <c r="BW68" i="3" s="1"/>
  <c r="BL25" i="3"/>
  <c r="BL18" i="3"/>
  <c r="BH18" i="3"/>
  <c r="BH17" i="3" s="1"/>
  <c r="BK17" i="3"/>
  <c r="BK66" i="3" s="1"/>
  <c r="BJ17" i="3"/>
  <c r="BJ66" i="3" s="1"/>
  <c r="BI17" i="3"/>
  <c r="BI66" i="3" s="1"/>
  <c r="BG66" i="3" s="1"/>
  <c r="BD11" i="3"/>
  <c r="AN177" i="2"/>
  <c r="AM177" i="2"/>
  <c r="AL177" i="2"/>
  <c r="AK177" i="2"/>
  <c r="AJ177" i="2"/>
  <c r="AI177" i="2"/>
  <c r="AH177" i="2"/>
  <c r="AG177" i="2"/>
  <c r="AF177" i="2"/>
  <c r="AE177" i="2"/>
  <c r="AD177" i="2"/>
  <c r="AN169" i="2"/>
  <c r="AM169" i="2"/>
  <c r="AM168" i="2" s="1"/>
  <c r="AL169" i="2"/>
  <c r="AK169" i="2"/>
  <c r="AJ169" i="2"/>
  <c r="AI169" i="2"/>
  <c r="AH169" i="2"/>
  <c r="AG169" i="2"/>
  <c r="AF169" i="2"/>
  <c r="AE169" i="2"/>
  <c r="AE168" i="2" s="1"/>
  <c r="AD169" i="2"/>
  <c r="AC169" i="2"/>
  <c r="AB169" i="2"/>
  <c r="AA169" i="2"/>
  <c r="Z169" i="2"/>
  <c r="BC168" i="2"/>
  <c r="BB168" i="2"/>
  <c r="BA168" i="2"/>
  <c r="AZ168" i="2"/>
  <c r="AY168" i="2"/>
  <c r="AX168" i="2"/>
  <c r="AW168" i="2"/>
  <c r="AV168" i="2"/>
  <c r="AU168" i="2"/>
  <c r="AT168" i="2"/>
  <c r="AS168" i="2"/>
  <c r="AR168" i="2"/>
  <c r="AQ168" i="2"/>
  <c r="AP168" i="2"/>
  <c r="AO168" i="2"/>
  <c r="CB160" i="2"/>
  <c r="CA160" i="2"/>
  <c r="BZ160" i="2"/>
  <c r="BY160" i="2"/>
  <c r="BX160" i="2"/>
  <c r="BW160" i="2"/>
  <c r="BV160" i="2"/>
  <c r="BU160" i="2"/>
  <c r="BT160" i="2"/>
  <c r="BS160" i="2"/>
  <c r="BR160" i="2"/>
  <c r="BQ160" i="2"/>
  <c r="BP160" i="2"/>
  <c r="BO160" i="2"/>
  <c r="BN160" i="2"/>
  <c r="BM160" i="2"/>
  <c r="BL160" i="2"/>
  <c r="BK160" i="2"/>
  <c r="BJ160" i="2"/>
  <c r="BI160" i="2"/>
  <c r="BH160" i="2"/>
  <c r="BG160" i="2"/>
  <c r="BF160" i="2"/>
  <c r="BE160" i="2"/>
  <c r="BD160" i="2"/>
  <c r="BC160" i="2"/>
  <c r="BB158" i="2"/>
  <c r="AN158" i="2"/>
  <c r="CA156" i="2"/>
  <c r="BZ156" i="2"/>
  <c r="BY156" i="2"/>
  <c r="BX156" i="2"/>
  <c r="BW156" i="2"/>
  <c r="BV156" i="2"/>
  <c r="BU156" i="2"/>
  <c r="BT156" i="2"/>
  <c r="BS156" i="2"/>
  <c r="BR156" i="2"/>
  <c r="BQ156" i="2"/>
  <c r="BP156" i="2"/>
  <c r="BO156" i="2"/>
  <c r="BN156" i="2"/>
  <c r="BM156" i="2"/>
  <c r="BL156" i="2"/>
  <c r="BK156" i="2"/>
  <c r="BJ156" i="2"/>
  <c r="BI156" i="2"/>
  <c r="BH156" i="2"/>
  <c r="BG156" i="2"/>
  <c r="BF156" i="2"/>
  <c r="BE156" i="2"/>
  <c r="BD156" i="2"/>
  <c r="BC156" i="2"/>
  <c r="BB156" i="2"/>
  <c r="BA156" i="2"/>
  <c r="AZ156" i="2" s="1"/>
  <c r="AY156" i="2" s="1"/>
  <c r="BW149" i="2"/>
  <c r="BV149" i="2"/>
  <c r="BU149" i="2"/>
  <c r="BT149" i="2"/>
  <c r="BS149" i="2"/>
  <c r="BR149" i="2"/>
  <c r="BQ149" i="2"/>
  <c r="BP149" i="2"/>
  <c r="BO149" i="2"/>
  <c r="BN149" i="2"/>
  <c r="BM149" i="2"/>
  <c r="BL149" i="2"/>
  <c r="BK149" i="2"/>
  <c r="BJ149" i="2"/>
  <c r="BI149" i="2"/>
  <c r="BH149" i="2"/>
  <c r="BG149" i="2"/>
  <c r="BF149" i="2"/>
  <c r="BE149" i="2"/>
  <c r="BD149" i="2"/>
  <c r="BC149" i="2"/>
  <c r="BB149" i="2"/>
  <c r="BA149" i="2"/>
  <c r="AZ149" i="2"/>
  <c r="AY149" i="2"/>
  <c r="AX149" i="2"/>
  <c r="AW149" i="2"/>
  <c r="AV149" i="2"/>
  <c r="AU149" i="2"/>
  <c r="AT149" i="2"/>
  <c r="AS149" i="2"/>
  <c r="AR149" i="2"/>
  <c r="AQ149" i="2"/>
  <c r="AP149" i="2"/>
  <c r="AO149" i="2"/>
  <c r="AN149" i="2"/>
  <c r="AM149" i="2"/>
  <c r="AL149" i="2"/>
  <c r="BM106" i="2"/>
  <c r="BL106" i="2"/>
  <c r="Y101" i="2"/>
  <c r="X101" i="2"/>
  <c r="W101" i="2"/>
  <c r="V101" i="2"/>
  <c r="U101" i="2"/>
  <c r="T101" i="2"/>
  <c r="S101" i="2"/>
  <c r="R101" i="2"/>
  <c r="CA88" i="2"/>
  <c r="CA83" i="2" s="1"/>
  <c r="CA73" i="2" s="1"/>
  <c r="BZ88" i="2"/>
  <c r="BZ83" i="2" s="1"/>
  <c r="BZ73" i="2" s="1"/>
  <c r="BY88" i="2"/>
  <c r="BY83" i="2" s="1"/>
  <c r="BY73" i="2" s="1"/>
  <c r="BX88" i="2"/>
  <c r="BX83" i="2" s="1"/>
  <c r="BX73" i="2" s="1"/>
  <c r="BT88" i="2"/>
  <c r="BT83" i="2" s="1"/>
  <c r="BT73" i="2" s="1"/>
  <c r="BS88" i="2"/>
  <c r="BS83" i="2" s="1"/>
  <c r="BS73" i="2" s="1"/>
  <c r="BR88" i="2"/>
  <c r="BR83" i="2" s="1"/>
  <c r="BR73" i="2" s="1"/>
  <c r="BO88" i="2"/>
  <c r="BO83" i="2" s="1"/>
  <c r="BO73" i="2" s="1"/>
  <c r="BN88" i="2"/>
  <c r="BN83" i="2" s="1"/>
  <c r="BN73" i="2" s="1"/>
  <c r="AS88" i="2"/>
  <c r="AR88" i="2"/>
  <c r="AQ88" i="2"/>
  <c r="AP88" i="2"/>
  <c r="AO88" i="2"/>
  <c r="AN88" i="2"/>
  <c r="AM88" i="2"/>
  <c r="AL88" i="2"/>
  <c r="AK88" i="2"/>
  <c r="AJ88" i="2"/>
  <c r="AI88" i="2"/>
  <c r="AH88" i="2"/>
  <c r="AG88" i="2"/>
  <c r="AF88" i="2"/>
  <c r="AE88" i="2"/>
  <c r="AD88" i="2"/>
  <c r="AC88" i="2"/>
  <c r="AB88" i="2"/>
  <c r="AA88" i="2"/>
  <c r="Z88" i="2"/>
  <c r="Z86" i="2"/>
  <c r="Z84" i="2" s="1"/>
  <c r="Z149" i="2" s="1"/>
  <c r="AQ84" i="2"/>
  <c r="AP84" i="2"/>
  <c r="AO84" i="2"/>
  <c r="AN84" i="2"/>
  <c r="AM84" i="2"/>
  <c r="AL84" i="2"/>
  <c r="AK84" i="2"/>
  <c r="AK149" i="2" s="1"/>
  <c r="AJ84" i="2"/>
  <c r="AI84" i="2"/>
  <c r="AI149" i="2" s="1"/>
  <c r="AH84" i="2"/>
  <c r="AH149" i="2" s="1"/>
  <c r="AG84" i="2"/>
  <c r="AG149" i="2" s="1"/>
  <c r="AF84" i="2"/>
  <c r="AF149" i="2" s="1"/>
  <c r="AE84" i="2"/>
  <c r="AE149" i="2" s="1"/>
  <c r="AD84" i="2"/>
  <c r="AC84" i="2"/>
  <c r="AB84" i="2"/>
  <c r="AA84" i="2"/>
  <c r="AA149" i="2" s="1"/>
  <c r="AO79" i="2"/>
  <c r="AN79" i="2"/>
  <c r="AM79" i="2"/>
  <c r="AL79" i="2"/>
  <c r="AQ75" i="2"/>
  <c r="AP75" i="2"/>
  <c r="AO75" i="2"/>
  <c r="AN75" i="2"/>
  <c r="AM75" i="2"/>
  <c r="AL75" i="2"/>
  <c r="BW70" i="2"/>
  <c r="BR70" i="2"/>
  <c r="BQ70" i="2"/>
  <c r="BP70" i="2"/>
  <c r="BO70" i="2"/>
  <c r="BN70" i="2"/>
  <c r="BM70" i="2"/>
  <c r="BL70" i="2"/>
  <c r="BK70" i="2"/>
  <c r="BJ70" i="2"/>
  <c r="BG70" i="2"/>
  <c r="BF70" i="2"/>
  <c r="BA70" i="2"/>
  <c r="AX70" i="2"/>
  <c r="AW70" i="2"/>
  <c r="AV70" i="2"/>
  <c r="AU70" i="2"/>
  <c r="AR70" i="2"/>
  <c r="AQ70" i="2"/>
  <c r="AP70" i="2"/>
  <c r="AO70" i="2"/>
  <c r="AJ70" i="2"/>
  <c r="Z70" i="2"/>
  <c r="BW68" i="2"/>
  <c r="BU68" i="2"/>
  <c r="BS68" i="2"/>
  <c r="BP68" i="2"/>
  <c r="BO68" i="2"/>
  <c r="BN68" i="2"/>
  <c r="BM68" i="2"/>
  <c r="BK68" i="2"/>
  <c r="BJ68" i="2"/>
  <c r="BI68" i="2"/>
  <c r="BH68" i="2"/>
  <c r="BG68" i="2"/>
  <c r="BF68" i="2"/>
  <c r="BE68" i="2"/>
  <c r="BD68" i="2"/>
  <c r="BC68" i="2"/>
  <c r="BB68" i="2"/>
  <c r="AZ68" i="2"/>
  <c r="AY68" i="2"/>
  <c r="AX68" i="2"/>
  <c r="AW68" i="2"/>
  <c r="AV68" i="2"/>
  <c r="AU68" i="2"/>
  <c r="AT68" i="2"/>
  <c r="AQ68" i="2"/>
  <c r="AP68" i="2"/>
  <c r="AO68" i="2"/>
  <c r="AN68" i="2"/>
  <c r="AM68" i="2"/>
  <c r="AK68" i="2"/>
  <c r="AJ68" i="2"/>
  <c r="BW67" i="2"/>
  <c r="BT67" i="2"/>
  <c r="BS67" i="2"/>
  <c r="BR67" i="2"/>
  <c r="AS67" i="2"/>
  <c r="AR67" i="2"/>
  <c r="AQ67" i="2"/>
  <c r="AP67" i="2"/>
  <c r="AO67" i="2"/>
  <c r="AN67" i="2"/>
  <c r="AM67" i="2"/>
  <c r="AL67" i="2"/>
  <c r="AK67" i="2"/>
  <c r="AJ67" i="2"/>
  <c r="AI67" i="2"/>
  <c r="AH67" i="2"/>
  <c r="AG67" i="2"/>
  <c r="AF67" i="2"/>
  <c r="AE67" i="2"/>
  <c r="AD67" i="2"/>
  <c r="AC67" i="2"/>
  <c r="AB67" i="2"/>
  <c r="AA67" i="2"/>
  <c r="Z67" i="2"/>
  <c r="X67" i="2"/>
  <c r="Z66" i="2"/>
  <c r="Z65" i="2" s="1"/>
  <c r="X66" i="2"/>
  <c r="V64" i="2"/>
  <c r="U64" i="2"/>
  <c r="T64" i="2"/>
  <c r="S64" i="2"/>
  <c r="R64" i="2"/>
  <c r="Q64" i="2"/>
  <c r="P64" i="2"/>
  <c r="N64" i="2"/>
  <c r="L64" i="2"/>
  <c r="J64" i="2"/>
  <c r="BZ58" i="2"/>
  <c r="BY58" i="2"/>
  <c r="BX58" i="2"/>
  <c r="BW58" i="2"/>
  <c r="BW66" i="2" s="1"/>
  <c r="BV58" i="2"/>
  <c r="BV66" i="2" s="1"/>
  <c r="BU58" i="2"/>
  <c r="BU66" i="2" s="1"/>
  <c r="BT58" i="2"/>
  <c r="BT66" i="2" s="1"/>
  <c r="BS58" i="2"/>
  <c r="BS66" i="2" s="1"/>
  <c r="BR58" i="2"/>
  <c r="BR66" i="2" s="1"/>
  <c r="BQ58" i="2"/>
  <c r="BQ66" i="2" s="1"/>
  <c r="BP58" i="2"/>
  <c r="BP66" i="2" s="1"/>
  <c r="BO58" i="2"/>
  <c r="BO66" i="2" s="1"/>
  <c r="BN58" i="2"/>
  <c r="BN66" i="2" s="1"/>
  <c r="BM58" i="2"/>
  <c r="BM66" i="2" s="1"/>
  <c r="BL58" i="2"/>
  <c r="BL66" i="2" s="1"/>
  <c r="BK58" i="2"/>
  <c r="BK66" i="2" s="1"/>
  <c r="BJ58" i="2"/>
  <c r="BJ66" i="2" s="1"/>
  <c r="BI58" i="2"/>
  <c r="BI66" i="2" s="1"/>
  <c r="BH58" i="2"/>
  <c r="BC58" i="2"/>
  <c r="BC66" i="2" s="1"/>
  <c r="BB58" i="2"/>
  <c r="BB66" i="2" s="1"/>
  <c r="BA58" i="2"/>
  <c r="BA66" i="2" s="1"/>
  <c r="AZ58" i="2"/>
  <c r="AZ66" i="2" s="1"/>
  <c r="AY58" i="2"/>
  <c r="AY66" i="2" s="1"/>
  <c r="AX58" i="2"/>
  <c r="AX66" i="2" s="1"/>
  <c r="AW58" i="2"/>
  <c r="AW66" i="2" s="1"/>
  <c r="AV58" i="2"/>
  <c r="AV66" i="2" s="1"/>
  <c r="AS58" i="2"/>
  <c r="AS66" i="2" s="1"/>
  <c r="AR58" i="2"/>
  <c r="AR66" i="2" s="1"/>
  <c r="AR65" i="2" s="1"/>
  <c r="AQ58" i="2"/>
  <c r="AQ66" i="2" s="1"/>
  <c r="AQ65" i="2" s="1"/>
  <c r="AP58" i="2"/>
  <c r="AP66" i="2" s="1"/>
  <c r="AO58" i="2"/>
  <c r="AO66" i="2" s="1"/>
  <c r="AN58" i="2"/>
  <c r="AN66" i="2" s="1"/>
  <c r="AM58" i="2"/>
  <c r="AM66" i="2" s="1"/>
  <c r="AM65" i="2" s="1"/>
  <c r="AL58" i="2"/>
  <c r="AL66" i="2" s="1"/>
  <c r="AK58" i="2"/>
  <c r="AK66" i="2" s="1"/>
  <c r="AJ58" i="2"/>
  <c r="AJ66" i="2" s="1"/>
  <c r="AI58" i="2"/>
  <c r="AI66" i="2" s="1"/>
  <c r="AI65" i="2" s="1"/>
  <c r="AH58" i="2"/>
  <c r="AH66" i="2" s="1"/>
  <c r="AH65" i="2" s="1"/>
  <c r="AG58" i="2"/>
  <c r="AG66" i="2" s="1"/>
  <c r="AF58" i="2"/>
  <c r="AF66" i="2" s="1"/>
  <c r="AE58" i="2"/>
  <c r="AE66" i="2" s="1"/>
  <c r="AE65" i="2" s="1"/>
  <c r="AB58" i="2"/>
  <c r="AA58" i="2"/>
  <c r="AA66" i="2" s="1"/>
  <c r="BO28" i="2"/>
  <c r="BN28" i="2"/>
  <c r="BN67" i="2" s="1"/>
  <c r="AW28" i="2"/>
  <c r="AW23" i="2" s="1"/>
  <c r="AV28" i="2"/>
  <c r="AV23" i="2" s="1"/>
  <c r="AU28" i="2"/>
  <c r="AU23" i="2" s="1"/>
  <c r="AT28" i="2"/>
  <c r="AT67" i="2" s="1"/>
  <c r="CA23" i="2"/>
  <c r="BZ23" i="2"/>
  <c r="BY23" i="2"/>
  <c r="BX23" i="2"/>
  <c r="BW23" i="2"/>
  <c r="BT23" i="2"/>
  <c r="BS23" i="2"/>
  <c r="BR23" i="2"/>
  <c r="AS23" i="2"/>
  <c r="AR23" i="2"/>
  <c r="AQ23" i="2"/>
  <c r="AP23" i="2"/>
  <c r="AO23" i="2"/>
  <c r="AN23" i="2"/>
  <c r="AM23" i="2"/>
  <c r="AL23" i="2"/>
  <c r="AK23" i="2"/>
  <c r="AJ23" i="2"/>
  <c r="AI23" i="2"/>
  <c r="AH23" i="2"/>
  <c r="AG23" i="2"/>
  <c r="AF23" i="2"/>
  <c r="AE23" i="2"/>
  <c r="AD23" i="2"/>
  <c r="AC23" i="2"/>
  <c r="AB23" i="2"/>
  <c r="AA23" i="2"/>
  <c r="Z23" i="2"/>
  <c r="X23" i="2"/>
  <c r="W17" i="2"/>
  <c r="W16" i="2"/>
  <c r="W64" i="2" s="1"/>
  <c r="AN14" i="2"/>
  <c r="AM14" i="2"/>
  <c r="AL14" i="2"/>
  <c r="AW13" i="2"/>
  <c r="AV13" i="2"/>
  <c r="AU13" i="2"/>
  <c r="AT13" i="2"/>
  <c r="AA12" i="2"/>
  <c r="Z12" i="2"/>
  <c r="CD88" i="1"/>
  <c r="CC88" i="1"/>
  <c r="CB88" i="1"/>
  <c r="CA88" i="1"/>
  <c r="BZ88" i="1"/>
  <c r="BY88" i="1"/>
  <c r="BX88" i="1"/>
  <c r="BW88" i="1"/>
  <c r="BV88" i="1"/>
  <c r="BU88" i="1"/>
  <c r="BT88" i="1"/>
  <c r="BS88" i="1"/>
  <c r="BR88" i="1"/>
  <c r="BQ88" i="1"/>
  <c r="BP88" i="1"/>
  <c r="BO88" i="1"/>
  <c r="BN88" i="1"/>
  <c r="BM88" i="1"/>
  <c r="BL88" i="1"/>
  <c r="BK88" i="1"/>
  <c r="BJ88" i="1"/>
  <c r="BI88" i="1"/>
  <c r="BH88" i="1"/>
  <c r="BG88" i="1"/>
  <c r="BF88" i="1"/>
  <c r="BE88" i="1"/>
  <c r="BD88" i="1"/>
  <c r="BC88" i="1"/>
  <c r="BB88" i="1"/>
  <c r="BA88" i="1"/>
  <c r="AZ88" i="1"/>
  <c r="AY88" i="1"/>
  <c r="AX88" i="1"/>
  <c r="AW88" i="1"/>
  <c r="AV88" i="1"/>
  <c r="AU88" i="1"/>
  <c r="AT88" i="1"/>
  <c r="AS88" i="1"/>
  <c r="AR88" i="1"/>
  <c r="AQ88" i="1"/>
  <c r="AP88" i="1"/>
  <c r="AO88" i="1"/>
  <c r="AN88" i="1"/>
  <c r="AM88" i="1"/>
  <c r="AL88" i="1"/>
  <c r="AK88" i="1"/>
  <c r="AJ88" i="1"/>
  <c r="AI88" i="1"/>
  <c r="AH88" i="1"/>
  <c r="AG88" i="1"/>
  <c r="AF88" i="1"/>
  <c r="BZ81" i="1"/>
  <c r="BY81" i="1"/>
  <c r="BX81" i="1"/>
  <c r="BW81" i="1"/>
  <c r="BV81" i="1"/>
  <c r="BU81" i="1"/>
  <c r="BT81" i="1"/>
  <c r="BS81" i="1"/>
  <c r="BR81" i="1"/>
  <c r="BQ81" i="1"/>
  <c r="BP81" i="1"/>
  <c r="BO81" i="1"/>
  <c r="BN81" i="1"/>
  <c r="BM81" i="1"/>
  <c r="BL81" i="1"/>
  <c r="BK81" i="1"/>
  <c r="BJ81" i="1"/>
  <c r="BI81" i="1"/>
  <c r="BH81" i="1"/>
  <c r="BG81" i="1"/>
  <c r="BF81" i="1"/>
  <c r="BE81" i="1"/>
  <c r="BD81" i="1"/>
  <c r="BC81" i="1"/>
  <c r="BB81" i="1"/>
  <c r="BA81" i="1"/>
  <c r="AZ81" i="1"/>
  <c r="AY81" i="1"/>
  <c r="AX81" i="1"/>
  <c r="AW81" i="1"/>
  <c r="AV81" i="1"/>
  <c r="AU81" i="1"/>
  <c r="AT81" i="1"/>
  <c r="AS81" i="1"/>
  <c r="AR81" i="1"/>
  <c r="AQ81" i="1"/>
  <c r="AP81" i="1"/>
  <c r="AO81" i="1"/>
  <c r="AN81" i="1"/>
  <c r="AM81" i="1"/>
  <c r="AL81" i="1"/>
  <c r="AK81" i="1"/>
  <c r="AJ81" i="1"/>
  <c r="AI81" i="1"/>
  <c r="AH81" i="1"/>
  <c r="AG81" i="1"/>
  <c r="AF81" i="1"/>
  <c r="AE81" i="1"/>
  <c r="AD81" i="1"/>
  <c r="BZ80" i="1"/>
  <c r="BY80" i="1"/>
  <c r="BX80" i="1"/>
  <c r="BW80" i="1"/>
  <c r="BV80" i="1"/>
  <c r="BU80" i="1"/>
  <c r="BT80" i="1"/>
  <c r="BS80" i="1"/>
  <c r="BR80" i="1"/>
  <c r="BQ80" i="1"/>
  <c r="BP80" i="1"/>
  <c r="BO80" i="1"/>
  <c r="BN80" i="1"/>
  <c r="BM80" i="1"/>
  <c r="BL80" i="1"/>
  <c r="BK80" i="1"/>
  <c r="BJ80" i="1"/>
  <c r="BI80" i="1"/>
  <c r="BH80" i="1"/>
  <c r="BG80" i="1"/>
  <c r="BF80" i="1"/>
  <c r="BE80" i="1"/>
  <c r="BD80" i="1"/>
  <c r="BC80" i="1"/>
  <c r="BB80" i="1"/>
  <c r="BA80" i="1"/>
  <c r="AZ80" i="1"/>
  <c r="AY80" i="1"/>
  <c r="AX80" i="1"/>
  <c r="AW80" i="1"/>
  <c r="AV80" i="1"/>
  <c r="AU80" i="1"/>
  <c r="AT80" i="1"/>
  <c r="AS80" i="1"/>
  <c r="AR80" i="1"/>
  <c r="AQ80" i="1"/>
  <c r="AP80" i="1"/>
  <c r="AO80" i="1"/>
  <c r="AN80" i="1"/>
  <c r="AM80" i="1"/>
  <c r="AL80" i="1"/>
  <c r="AK80" i="1"/>
  <c r="AJ80" i="1"/>
  <c r="AI80" i="1"/>
  <c r="AH80" i="1"/>
  <c r="AG80" i="1"/>
  <c r="AF80" i="1"/>
  <c r="AE80" i="1"/>
  <c r="AD80" i="1"/>
  <c r="BZ79" i="1"/>
  <c r="BY79" i="1"/>
  <c r="BX79" i="1"/>
  <c r="BW79" i="1"/>
  <c r="BV79" i="1"/>
  <c r="BU79" i="1"/>
  <c r="BT79" i="1"/>
  <c r="BS79" i="1"/>
  <c r="BR79" i="1"/>
  <c r="BQ79" i="1"/>
  <c r="BP79" i="1"/>
  <c r="BO79" i="1"/>
  <c r="BN79" i="1"/>
  <c r="BM79" i="1"/>
  <c r="BL79" i="1"/>
  <c r="BK79" i="1"/>
  <c r="BJ79" i="1"/>
  <c r="BI79" i="1"/>
  <c r="BH79" i="1"/>
  <c r="BG79" i="1"/>
  <c r="BF79" i="1"/>
  <c r="BE79" i="1"/>
  <c r="BD79" i="1"/>
  <c r="BC79" i="1"/>
  <c r="BB79" i="1"/>
  <c r="BA79" i="1"/>
  <c r="AZ79" i="1"/>
  <c r="AY79" i="1"/>
  <c r="AX79" i="1"/>
  <c r="AW79" i="1"/>
  <c r="AV79" i="1"/>
  <c r="AU79" i="1"/>
  <c r="AT79" i="1"/>
  <c r="AS79" i="1"/>
  <c r="AR79" i="1"/>
  <c r="AQ79" i="1"/>
  <c r="AP79" i="1"/>
  <c r="AO79" i="1"/>
  <c r="AN79" i="1"/>
  <c r="AM79" i="1"/>
  <c r="AL79" i="1"/>
  <c r="AK79" i="1"/>
  <c r="AJ79" i="1"/>
  <c r="AI79" i="1"/>
  <c r="AH79" i="1"/>
  <c r="AG79" i="1"/>
  <c r="AF79" i="1"/>
  <c r="AE79" i="1"/>
  <c r="AD79" i="1"/>
  <c r="BZ77" i="1"/>
  <c r="BY77" i="1"/>
  <c r="BX77" i="1"/>
  <c r="BW77" i="1"/>
  <c r="BV77" i="1"/>
  <c r="BU77" i="1"/>
  <c r="BT77" i="1"/>
  <c r="BS77" i="1"/>
  <c r="BR77" i="1"/>
  <c r="BQ77" i="1"/>
  <c r="BP77" i="1"/>
  <c r="BO77" i="1"/>
  <c r="BN77" i="1"/>
  <c r="BM77" i="1"/>
  <c r="BI77" i="1"/>
  <c r="BH77" i="1"/>
  <c r="BG77" i="1"/>
  <c r="BF77" i="1"/>
  <c r="BE77" i="1"/>
  <c r="BD77" i="1"/>
  <c r="BC77" i="1"/>
  <c r="BB77" i="1"/>
  <c r="BA77" i="1"/>
  <c r="AZ77" i="1"/>
  <c r="AY77" i="1"/>
  <c r="AX77" i="1"/>
  <c r="AW77" i="1"/>
  <c r="AV77" i="1"/>
  <c r="AU77" i="1"/>
  <c r="AT77" i="1"/>
  <c r="AS77" i="1"/>
  <c r="AR77" i="1"/>
  <c r="AQ77" i="1"/>
  <c r="AP77" i="1"/>
  <c r="AO77" i="1"/>
  <c r="AN77" i="1"/>
  <c r="AM77" i="1"/>
  <c r="AL77" i="1"/>
  <c r="AK77" i="1"/>
  <c r="AJ77" i="1"/>
  <c r="AI77" i="1"/>
  <c r="AH77" i="1"/>
  <c r="AG77" i="1"/>
  <c r="AF77" i="1"/>
  <c r="AE77" i="1"/>
  <c r="AD77" i="1"/>
  <c r="BZ76" i="1"/>
  <c r="BY76" i="1"/>
  <c r="BX76" i="1"/>
  <c r="BW76" i="1"/>
  <c r="BV76" i="1"/>
  <c r="BU76" i="1"/>
  <c r="BT76" i="1"/>
  <c r="BS76" i="1"/>
  <c r="BR76" i="1"/>
  <c r="BQ76" i="1"/>
  <c r="BP76" i="1"/>
  <c r="BO76" i="1"/>
  <c r="BN76" i="1"/>
  <c r="BM76" i="1"/>
  <c r="BL76" i="1"/>
  <c r="BK76" i="1"/>
  <c r="BJ76" i="1"/>
  <c r="BI76" i="1"/>
  <c r="BH76" i="1"/>
  <c r="BG76" i="1"/>
  <c r="BF76" i="1"/>
  <c r="BE76" i="1"/>
  <c r="BD76" i="1"/>
  <c r="BC76" i="1"/>
  <c r="BB76" i="1"/>
  <c r="BA76" i="1"/>
  <c r="AZ76" i="1"/>
  <c r="AY76" i="1"/>
  <c r="AX76" i="1"/>
  <c r="AW76" i="1"/>
  <c r="AV76" i="1"/>
  <c r="AU76" i="1"/>
  <c r="AT76" i="1"/>
  <c r="AS76" i="1"/>
  <c r="AR76" i="1"/>
  <c r="AQ76" i="1"/>
  <c r="AP76" i="1"/>
  <c r="AO76" i="1"/>
  <c r="AN76" i="1"/>
  <c r="AM76" i="1"/>
  <c r="AL76" i="1"/>
  <c r="AK76" i="1"/>
  <c r="AJ76" i="1"/>
  <c r="AI76" i="1"/>
  <c r="AH76" i="1"/>
  <c r="AG76" i="1"/>
  <c r="AF76" i="1"/>
  <c r="AE76" i="1"/>
  <c r="AD76" i="1"/>
  <c r="AF168" i="2" l="1"/>
  <c r="AN168" i="2"/>
  <c r="AS70" i="2"/>
  <c r="AU109" i="1"/>
  <c r="AU113" i="1"/>
  <c r="AL68" i="2"/>
  <c r="AY70" i="2"/>
  <c r="AZ70" i="2" s="1"/>
  <c r="AC58" i="2"/>
  <c r="AC66" i="2" s="1"/>
  <c r="O64" i="2"/>
  <c r="AM83" i="2"/>
  <c r="AM77" i="2" s="1"/>
  <c r="BB160" i="2"/>
  <c r="BK65" i="2"/>
  <c r="AN83" i="2"/>
  <c r="AN77" i="2" s="1"/>
  <c r="AB83" i="2"/>
  <c r="AB77" i="2" s="1"/>
  <c r="AJ83" i="2"/>
  <c r="AJ77" i="2" s="1"/>
  <c r="BD58" i="2"/>
  <c r="BE58" i="2" s="1"/>
  <c r="AP83" i="2"/>
  <c r="AP77" i="2" s="1"/>
  <c r="AR68" i="2"/>
  <c r="AS68" i="2" s="1"/>
  <c r="BS70" i="2"/>
  <c r="BT70" i="2" s="1"/>
  <c r="Z83" i="2"/>
  <c r="Z77" i="2" s="1"/>
  <c r="BN23" i="2"/>
  <c r="BN16" i="2" s="1"/>
  <c r="AU67" i="2"/>
  <c r="AV67" i="2"/>
  <c r="AE83" i="2"/>
  <c r="AE77" i="2" s="1"/>
  <c r="AW67" i="2"/>
  <c r="AX67" i="2" s="1"/>
  <c r="AQ83" i="2"/>
  <c r="AQ77" i="2" s="1"/>
  <c r="AL65" i="2"/>
  <c r="AF65" i="2"/>
  <c r="AN65" i="2"/>
  <c r="AO65" i="2"/>
  <c r="BQ65" i="2"/>
  <c r="AG65" i="2"/>
  <c r="AO83" i="2"/>
  <c r="AO77" i="2" s="1"/>
  <c r="BR65" i="2"/>
  <c r="BL68" i="2"/>
  <c r="Y67" i="2"/>
  <c r="AK70" i="2"/>
  <c r="AL70" i="2" s="1"/>
  <c r="AF83" i="2"/>
  <c r="AF77" i="2" s="1"/>
  <c r="AK83" i="2"/>
  <c r="AK77" i="2" s="1"/>
  <c r="AG168" i="2"/>
  <c r="X65" i="2"/>
  <c r="BT68" i="2"/>
  <c r="BA65" i="2"/>
  <c r="AG83" i="2"/>
  <c r="AG77" i="2" s="1"/>
  <c r="AD83" i="2"/>
  <c r="AD77" i="2" s="1"/>
  <c r="AL83" i="2"/>
  <c r="AL77" i="2" s="1"/>
  <c r="AK168" i="2"/>
  <c r="AH168" i="2"/>
  <c r="AC83" i="2"/>
  <c r="AC77" i="2" s="1"/>
  <c r="AJ168" i="2"/>
  <c r="BU67" i="2"/>
  <c r="BA68" i="2"/>
  <c r="AH83" i="2"/>
  <c r="AH77" i="2" s="1"/>
  <c r="AD168" i="2"/>
  <c r="AL168" i="2"/>
  <c r="AI168" i="2"/>
  <c r="AH78" i="1"/>
  <c r="BF78" i="1"/>
  <c r="AP78" i="1"/>
  <c r="AX78" i="1"/>
  <c r="BN78" i="1"/>
  <c r="BV78" i="1"/>
  <c r="AQ78" i="1"/>
  <c r="AJ78" i="1"/>
  <c r="AZ78" i="1"/>
  <c r="AR78" i="1"/>
  <c r="BH78" i="1"/>
  <c r="AL78" i="1"/>
  <c r="BR78" i="1"/>
  <c r="AI78" i="1"/>
  <c r="BL78" i="1"/>
  <c r="AU78" i="1"/>
  <c r="AY78" i="1"/>
  <c r="AT78" i="1"/>
  <c r="BZ78" i="1"/>
  <c r="AE78" i="1"/>
  <c r="BS78" i="1"/>
  <c r="AG78" i="1"/>
  <c r="AO78" i="1"/>
  <c r="AW78" i="1"/>
  <c r="BE78" i="1"/>
  <c r="BM78" i="1"/>
  <c r="BU78" i="1"/>
  <c r="AF78" i="1"/>
  <c r="AN78" i="1"/>
  <c r="AV78" i="1"/>
  <c r="BD78" i="1"/>
  <c r="BO78" i="1"/>
  <c r="BW78" i="1"/>
  <c r="AD78" i="1"/>
  <c r="BJ78" i="1"/>
  <c r="AM78" i="1"/>
  <c r="BK78" i="1"/>
  <c r="BB78" i="1"/>
  <c r="BT78" i="1"/>
  <c r="BC78" i="1"/>
  <c r="BG78" i="1"/>
  <c r="BL17" i="3"/>
  <c r="BL66" i="3" s="1"/>
  <c r="AR116" i="3"/>
  <c r="AR115" i="3" s="1"/>
  <c r="BF145" i="3"/>
  <c r="AA116" i="3"/>
  <c r="AA115" i="3" s="1"/>
  <c r="AJ135" i="3"/>
  <c r="AJ147" i="3" s="1"/>
  <c r="AK137" i="3"/>
  <c r="AK148" i="3" s="1"/>
  <c r="Y116" i="3"/>
  <c r="Y115" i="3" s="1"/>
  <c r="Z116" i="3"/>
  <c r="Z115" i="3" s="1"/>
  <c r="AR145" i="3"/>
  <c r="Z151" i="3"/>
  <c r="Y151" i="3" s="1"/>
  <c r="CA68" i="3"/>
  <c r="W143" i="3"/>
  <c r="W145" i="3" s="1"/>
  <c r="W116" i="3"/>
  <c r="W115" i="3" s="1"/>
  <c r="AV145" i="3"/>
  <c r="BL145" i="3"/>
  <c r="R110" i="3"/>
  <c r="Q110" i="3" s="1"/>
  <c r="P110" i="3" s="1"/>
  <c r="O110" i="3" s="1"/>
  <c r="BT145" i="3"/>
  <c r="AV66" i="3"/>
  <c r="BD145" i="3"/>
  <c r="AD116" i="3"/>
  <c r="AD115" i="3" s="1"/>
  <c r="AW145" i="3"/>
  <c r="AS122" i="3"/>
  <c r="AS143" i="3" s="1"/>
  <c r="AS145" i="3" s="1"/>
  <c r="X143" i="3"/>
  <c r="X145" i="3" s="1"/>
  <c r="AH145" i="3"/>
  <c r="AX145" i="3"/>
  <c r="BN145" i="3"/>
  <c r="AG145" i="3"/>
  <c r="BM145" i="3"/>
  <c r="BE66" i="3"/>
  <c r="AE145" i="3"/>
  <c r="AA145" i="3"/>
  <c r="AT145" i="3"/>
  <c r="BB145" i="3"/>
  <c r="BJ145" i="3"/>
  <c r="BR145" i="3"/>
  <c r="AQ145" i="3"/>
  <c r="AD145" i="3"/>
  <c r="AU145" i="3"/>
  <c r="BC145" i="3"/>
  <c r="BK145" i="3"/>
  <c r="BS145" i="3"/>
  <c r="BH66" i="3"/>
  <c r="Y145" i="3"/>
  <c r="AO145" i="3"/>
  <c r="AP145" i="3"/>
  <c r="AI143" i="3"/>
  <c r="AI145" i="3" s="1"/>
  <c r="AI116" i="3"/>
  <c r="AI115" i="3" s="1"/>
  <c r="AJ122" i="3"/>
  <c r="AB145" i="3"/>
  <c r="AY145" i="3"/>
  <c r="BG145" i="3"/>
  <c r="BO145" i="3"/>
  <c r="BW145" i="3"/>
  <c r="BE145" i="3"/>
  <c r="Z145" i="3"/>
  <c r="BV145" i="3"/>
  <c r="AT66" i="3"/>
  <c r="AC145" i="3"/>
  <c r="AZ145" i="3"/>
  <c r="BH145" i="3"/>
  <c r="BP145" i="3"/>
  <c r="BX145" i="3"/>
  <c r="BU145" i="3"/>
  <c r="BY143" i="3"/>
  <c r="BY145" i="3" s="1"/>
  <c r="BY116" i="3"/>
  <c r="BY115" i="3" s="1"/>
  <c r="AF145" i="3"/>
  <c r="BA145" i="3"/>
  <c r="BI145" i="3"/>
  <c r="BQ145" i="3"/>
  <c r="BZ143" i="3"/>
  <c r="BZ145" i="3" s="1"/>
  <c r="BZ116" i="3"/>
  <c r="BZ115" i="3" s="1"/>
  <c r="AX65" i="2"/>
  <c r="BO67" i="2"/>
  <c r="BO23" i="2"/>
  <c r="BO16" i="2" s="1"/>
  <c r="AW65" i="2"/>
  <c r="BB70" i="2"/>
  <c r="AA65" i="2"/>
  <c r="AS65" i="2"/>
  <c r="BP65" i="2"/>
  <c r="AP65" i="2"/>
  <c r="AK65" i="2"/>
  <c r="AV65" i="2"/>
  <c r="AY160" i="2"/>
  <c r="AX156" i="2"/>
  <c r="BM65" i="2"/>
  <c r="BN65" i="2"/>
  <c r="AJ65" i="2"/>
  <c r="BL65" i="2"/>
  <c r="BJ65" i="2"/>
  <c r="AB149" i="2"/>
  <c r="AT58" i="2"/>
  <c r="AC149" i="2"/>
  <c r="BH66" i="2"/>
  <c r="Y66" i="2"/>
  <c r="AT23" i="2"/>
  <c r="M64" i="2"/>
  <c r="BV68" i="2"/>
  <c r="BO65" i="2"/>
  <c r="BW65" i="2"/>
  <c r="AD149" i="2"/>
  <c r="AZ160" i="2"/>
  <c r="AB66" i="2"/>
  <c r="BH70" i="2"/>
  <c r="BA160" i="2"/>
  <c r="K64" i="2"/>
  <c r="AJ149" i="2"/>
  <c r="AA83" i="2"/>
  <c r="AA77" i="2" s="1"/>
  <c r="AI83" i="2"/>
  <c r="AI77" i="2" s="1"/>
  <c r="BP78" i="1"/>
  <c r="BX78" i="1"/>
  <c r="AK78" i="1"/>
  <c r="AS78" i="1"/>
  <c r="BA78" i="1"/>
  <c r="BI78" i="1"/>
  <c r="BQ78" i="1"/>
  <c r="BY78" i="1"/>
  <c r="AY65" i="2" l="1"/>
  <c r="AD58" i="2"/>
  <c r="AD66" i="2" s="1"/>
  <c r="AD65" i="2" s="1"/>
  <c r="BS65" i="2"/>
  <c r="BD66" i="2"/>
  <c r="AM70" i="2"/>
  <c r="AN70" i="2" s="1"/>
  <c r="Y65" i="2"/>
  <c r="BV67" i="2"/>
  <c r="AK135" i="3"/>
  <c r="AK147" i="3" s="1"/>
  <c r="AS116" i="3"/>
  <c r="AS115" i="3" s="1"/>
  <c r="AW66" i="3"/>
  <c r="AJ143" i="3"/>
  <c r="AJ145" i="3" s="1"/>
  <c r="AJ116" i="3"/>
  <c r="AJ115" i="3" s="1"/>
  <c r="AK122" i="3"/>
  <c r="X151" i="3"/>
  <c r="AY67" i="2"/>
  <c r="AZ65" i="2"/>
  <c r="AW63" i="2"/>
  <c r="AT66" i="2"/>
  <c r="AU58" i="2"/>
  <c r="AU66" i="2" s="1"/>
  <c r="BE66" i="2"/>
  <c r="BF58" i="2"/>
  <c r="BP67" i="2"/>
  <c r="BB65" i="2"/>
  <c r="BC70" i="2"/>
  <c r="BI70" i="2"/>
  <c r="BI65" i="2" s="1"/>
  <c r="BH65" i="2"/>
  <c r="BW63" i="2"/>
  <c r="AC65" i="2"/>
  <c r="BT65" i="2"/>
  <c r="BU70" i="2"/>
  <c r="AV63" i="2"/>
  <c r="AB65" i="2"/>
  <c r="AW156" i="2"/>
  <c r="AX160" i="2"/>
  <c r="AX66" i="3" l="1"/>
  <c r="AK143" i="3"/>
  <c r="AK145" i="3" s="1"/>
  <c r="AK116" i="3"/>
  <c r="AK115" i="3" s="1"/>
  <c r="AL122" i="3"/>
  <c r="W151" i="3"/>
  <c r="BV70" i="2"/>
  <c r="BV65" i="2" s="1"/>
  <c r="BU65" i="2"/>
  <c r="BF66" i="2"/>
  <c r="BG58" i="2"/>
  <c r="BG66" i="2" s="1"/>
  <c r="AT65" i="2"/>
  <c r="AZ67" i="2"/>
  <c r="BC65" i="2"/>
  <c r="BD70" i="2"/>
  <c r="BQ67" i="2"/>
  <c r="AU65" i="2"/>
  <c r="AV156" i="2"/>
  <c r="AW160" i="2"/>
  <c r="AY66" i="3" l="1"/>
  <c r="AL143" i="3"/>
  <c r="AL145" i="3" s="1"/>
  <c r="AL116" i="3"/>
  <c r="AL115" i="3" s="1"/>
  <c r="AM122" i="3"/>
  <c r="AU156" i="2"/>
  <c r="AV160" i="2"/>
  <c r="BG65" i="2"/>
  <c r="BA67" i="2"/>
  <c r="BE70" i="2"/>
  <c r="BE65" i="2" s="1"/>
  <c r="BD65" i="2"/>
  <c r="AU63" i="2"/>
  <c r="BF65" i="2"/>
  <c r="AT63" i="2"/>
  <c r="AZ66" i="3" l="1"/>
  <c r="AN122" i="3"/>
  <c r="AM116" i="3"/>
  <c r="AM115" i="3" s="1"/>
  <c r="AM143" i="3"/>
  <c r="AM145" i="3" s="1"/>
  <c r="AT156" i="2"/>
  <c r="AU160" i="2"/>
  <c r="BB67" i="2"/>
  <c r="BA66" i="3" l="1"/>
  <c r="AN143" i="3"/>
  <c r="AN145" i="3" s="1"/>
  <c r="AN116" i="3"/>
  <c r="AN115" i="3" s="1"/>
  <c r="BC67" i="2"/>
  <c r="AT160" i="2"/>
  <c r="AS156" i="2"/>
  <c r="BB66" i="3" l="1"/>
  <c r="AS160" i="2"/>
  <c r="AR156" i="2"/>
  <c r="BD67" i="2"/>
  <c r="BE67" i="2" l="1"/>
  <c r="AR160" i="2"/>
  <c r="AQ156" i="2"/>
  <c r="AQ160" i="2" l="1"/>
  <c r="AP156" i="2"/>
  <c r="BF67" i="2"/>
  <c r="BG67" i="2" l="1"/>
  <c r="AO156" i="2"/>
  <c r="AP160" i="2"/>
  <c r="BH67" i="2" l="1"/>
  <c r="AN156" i="2"/>
  <c r="AO160" i="2"/>
  <c r="AM156" i="2" l="1"/>
  <c r="AN160" i="2"/>
  <c r="BI67" i="2"/>
  <c r="BJ67" i="2" l="1"/>
  <c r="AL156" i="2"/>
  <c r="AM160" i="2"/>
  <c r="AK156" i="2" l="1"/>
  <c r="AL160" i="2"/>
  <c r="BK67" i="2"/>
  <c r="AK160" i="2" l="1"/>
  <c r="AJ156" i="2"/>
  <c r="BL67" i="2"/>
  <c r="BM67" i="2" l="1"/>
  <c r="AJ160" i="2"/>
  <c r="AI156" i="2"/>
  <c r="AI160" i="2" l="1"/>
  <c r="AH156" i="2"/>
  <c r="AG156" i="2" l="1"/>
  <c r="AH160" i="2"/>
  <c r="AF156" i="2" l="1"/>
  <c r="AG160" i="2"/>
  <c r="AE156" i="2" l="1"/>
  <c r="AF160" i="2"/>
  <c r="AD156" i="2" l="1"/>
  <c r="AE160" i="2"/>
  <c r="AC156" i="2" l="1"/>
  <c r="AD160" i="2"/>
  <c r="AC160" i="2" l="1"/>
  <c r="AB156" i="2"/>
  <c r="AA156" i="2" s="1"/>
  <c r="Z156" i="2" s="1"/>
</calcChain>
</file>

<file path=xl/comments1.xml><?xml version="1.0" encoding="utf-8"?>
<comments xmlns="http://schemas.openxmlformats.org/spreadsheetml/2006/main">
  <authors>
    <author>Rebecca</author>
    <author>Administrator</author>
    <author>Howard Simson</author>
  </authors>
  <commentList>
    <comment ref="W1" authorId="0" shapeId="0">
      <text>
        <r>
          <rPr>
            <b/>
            <sz val="9"/>
            <color indexed="81"/>
            <rFont val="Tahoma"/>
            <family val="2"/>
          </rPr>
          <t>Rebecca:</t>
        </r>
        <r>
          <rPr>
            <sz val="9"/>
            <color indexed="81"/>
            <rFont val="Tahoma"/>
            <family val="2"/>
          </rPr>
          <t xml:space="preserve">
Intro of new fiscal year</t>
        </r>
      </text>
    </comment>
    <comment ref="D4" authorId="1" shapeId="0">
      <text>
        <r>
          <rPr>
            <b/>
            <sz val="9"/>
            <color indexed="81"/>
            <rFont val="Tahoma"/>
            <family val="2"/>
          </rPr>
          <t>Administrator:</t>
        </r>
        <r>
          <rPr>
            <sz val="9"/>
            <color indexed="81"/>
            <rFont val="Tahoma"/>
            <family val="2"/>
          </rPr>
          <t xml:space="preserve">
Jerven and Frankema, up to 1960</t>
        </r>
      </text>
    </comment>
    <comment ref="M4" authorId="1" shapeId="0">
      <text>
        <r>
          <rPr>
            <b/>
            <sz val="9"/>
            <color indexed="81"/>
            <rFont val="Tahoma"/>
            <family val="2"/>
          </rPr>
          <t>Administrator:</t>
        </r>
        <r>
          <rPr>
            <sz val="9"/>
            <color indexed="81"/>
            <rFont val="Tahoma"/>
            <family val="2"/>
          </rPr>
          <t xml:space="preserve">
Frankema and Jerven</t>
        </r>
      </text>
    </comment>
    <comment ref="AB4" authorId="0" shapeId="0">
      <text>
        <r>
          <rPr>
            <b/>
            <sz val="9"/>
            <color indexed="81"/>
            <rFont val="Tahoma"/>
            <family val="2"/>
          </rPr>
          <t>Rebecca:</t>
        </r>
        <r>
          <rPr>
            <sz val="9"/>
            <color indexed="81"/>
            <rFont val="Tahoma"/>
            <family val="2"/>
          </rPr>
          <t xml:space="preserve">
Shift to WDI pop series (v. similar numbers)</t>
        </r>
      </text>
    </comment>
    <comment ref="O6" authorId="1" shapeId="0">
      <text>
        <r>
          <rPr>
            <b/>
            <sz val="9"/>
            <color indexed="81"/>
            <rFont val="Tahoma"/>
            <family val="2"/>
          </rPr>
          <t>Administrator:</t>
        </r>
        <r>
          <rPr>
            <sz val="9"/>
            <color indexed="81"/>
            <rFont val="Tahoma"/>
            <family val="2"/>
          </rPr>
          <t xml:space="preserve">
Assumed at 1960 share.</t>
        </r>
      </text>
    </comment>
    <comment ref="N8" authorId="1" shapeId="0">
      <text>
        <r>
          <rPr>
            <b/>
            <sz val="9"/>
            <color indexed="81"/>
            <rFont val="Tahoma"/>
            <family val="2"/>
          </rPr>
          <t>Administrator:</t>
        </r>
        <r>
          <rPr>
            <sz val="9"/>
            <color indexed="81"/>
            <rFont val="Tahoma"/>
            <family val="2"/>
          </rPr>
          <t xml:space="preserve">
EA ESB, 1948 - 1951, No1-14 (various years), Tables E1-E3</t>
        </r>
      </text>
    </comment>
    <comment ref="S8" authorId="1" shapeId="0">
      <text>
        <r>
          <rPr>
            <b/>
            <sz val="9"/>
            <color indexed="81"/>
            <rFont val="Tahoma"/>
            <family val="2"/>
          </rPr>
          <t>Administrator:</t>
        </r>
        <r>
          <rPr>
            <sz val="9"/>
            <color indexed="81"/>
            <rFont val="Tahoma"/>
            <family val="2"/>
          </rPr>
          <t xml:space="preserve">
KE SA 1955, Table 156.</t>
        </r>
      </text>
    </comment>
    <comment ref="X8" authorId="1" shapeId="0">
      <text>
        <r>
          <rPr>
            <b/>
            <sz val="9"/>
            <color indexed="81"/>
            <rFont val="Tahoma"/>
            <family val="2"/>
          </rPr>
          <t>Administrator:</t>
        </r>
        <r>
          <rPr>
            <sz val="9"/>
            <color indexed="81"/>
            <rFont val="Tahoma"/>
            <family val="2"/>
          </rPr>
          <t xml:space="preserve">
KE SA 1960, Table 141.</t>
        </r>
      </text>
    </comment>
    <comment ref="AB8" authorId="1" shapeId="0">
      <text>
        <r>
          <rPr>
            <b/>
            <sz val="9"/>
            <color indexed="81"/>
            <rFont val="Tahoma"/>
            <family val="2"/>
          </rPr>
          <t>Administrator:</t>
        </r>
        <r>
          <rPr>
            <sz val="9"/>
            <color indexed="81"/>
            <rFont val="Tahoma"/>
            <family val="2"/>
          </rPr>
          <t xml:space="preserve">
KE SA 1967, Table 171(a)</t>
        </r>
      </text>
    </comment>
    <comment ref="AI8" authorId="1" shapeId="0">
      <text>
        <r>
          <rPr>
            <b/>
            <sz val="9"/>
            <color indexed="81"/>
            <rFont val="Tahoma"/>
            <family val="2"/>
          </rPr>
          <t>Administrator:</t>
        </r>
        <r>
          <rPr>
            <sz val="9"/>
            <color indexed="81"/>
            <rFont val="Tahoma"/>
            <family val="2"/>
          </rPr>
          <t xml:space="preserve">
KE SA 1974, Table 222</t>
        </r>
      </text>
    </comment>
    <comment ref="AO8" authorId="1" shapeId="0">
      <text>
        <r>
          <rPr>
            <b/>
            <sz val="9"/>
            <color indexed="81"/>
            <rFont val="Tahoma"/>
            <family val="2"/>
          </rPr>
          <t>Administrator:</t>
        </r>
        <r>
          <rPr>
            <sz val="9"/>
            <color indexed="81"/>
            <rFont val="Tahoma"/>
            <family val="2"/>
          </rPr>
          <t xml:space="preserve">
KE SA 1980, Table 237</t>
        </r>
      </text>
    </comment>
    <comment ref="AV8" authorId="1" shapeId="0">
      <text>
        <r>
          <rPr>
            <b/>
            <sz val="9"/>
            <color indexed="81"/>
            <rFont val="Tahoma"/>
            <family val="2"/>
          </rPr>
          <t>Administrator:</t>
        </r>
        <r>
          <rPr>
            <sz val="9"/>
            <color indexed="81"/>
            <rFont val="Tahoma"/>
            <family val="2"/>
          </rPr>
          <t xml:space="preserve">
KE SA 1985, Table 214</t>
        </r>
      </text>
    </comment>
    <comment ref="BA8" authorId="1" shapeId="0">
      <text>
        <r>
          <rPr>
            <b/>
            <sz val="9"/>
            <color indexed="81"/>
            <rFont val="Tahoma"/>
            <family val="2"/>
          </rPr>
          <t>Administrator:</t>
        </r>
        <r>
          <rPr>
            <sz val="9"/>
            <color indexed="81"/>
            <rFont val="Tahoma"/>
            <family val="2"/>
          </rPr>
          <t xml:space="preserve">
KE SA 1989, Table 212</t>
        </r>
      </text>
    </comment>
    <comment ref="BE8" authorId="1" shapeId="0">
      <text>
        <r>
          <rPr>
            <b/>
            <sz val="9"/>
            <color indexed="81"/>
            <rFont val="Tahoma"/>
            <family val="2"/>
          </rPr>
          <t>Administrator:</t>
        </r>
        <r>
          <rPr>
            <sz val="9"/>
            <color indexed="81"/>
            <rFont val="Tahoma"/>
            <family val="2"/>
          </rPr>
          <t xml:space="preserve">
KE SA 1994, Table 207</t>
        </r>
      </text>
    </comment>
    <comment ref="BJ8" authorId="1" shapeId="0">
      <text>
        <r>
          <rPr>
            <b/>
            <sz val="9"/>
            <color indexed="81"/>
            <rFont val="Tahoma"/>
            <family val="2"/>
          </rPr>
          <t>Administrator:</t>
        </r>
        <r>
          <rPr>
            <sz val="9"/>
            <color indexed="81"/>
            <rFont val="Tahoma"/>
            <family val="2"/>
          </rPr>
          <t xml:space="preserve">
KE SA 2000, Table 188</t>
        </r>
      </text>
    </comment>
    <comment ref="BO8" authorId="1" shapeId="0">
      <text>
        <r>
          <rPr>
            <b/>
            <sz val="9"/>
            <color indexed="81"/>
            <rFont val="Tahoma"/>
            <family val="2"/>
          </rPr>
          <t>Administrator:</t>
        </r>
        <r>
          <rPr>
            <sz val="9"/>
            <color indexed="81"/>
            <rFont val="Tahoma"/>
            <family val="2"/>
          </rPr>
          <t xml:space="preserve">
KE SA 2004, Table 191</t>
        </r>
      </text>
    </comment>
    <comment ref="BS8" authorId="1" shapeId="0">
      <text>
        <r>
          <rPr>
            <b/>
            <sz val="9"/>
            <color indexed="81"/>
            <rFont val="Tahoma"/>
            <family val="2"/>
          </rPr>
          <t>Administrator:</t>
        </r>
        <r>
          <rPr>
            <sz val="9"/>
            <color indexed="81"/>
            <rFont val="Tahoma"/>
            <family val="2"/>
          </rPr>
          <t xml:space="preserve">
KE SA 2008, Table 184(b)</t>
        </r>
      </text>
    </comment>
    <comment ref="BW8" authorId="1" shapeId="0">
      <text>
        <r>
          <rPr>
            <b/>
            <sz val="9"/>
            <color indexed="81"/>
            <rFont val="Tahoma"/>
            <family val="2"/>
          </rPr>
          <t>Administrator:</t>
        </r>
        <r>
          <rPr>
            <sz val="9"/>
            <color indexed="81"/>
            <rFont val="Tahoma"/>
            <family val="2"/>
          </rPr>
          <t xml:space="preserve">
KE SA 2010, Table 182(b)</t>
        </r>
      </text>
    </comment>
    <comment ref="BX8" authorId="1" shapeId="0">
      <text>
        <r>
          <rPr>
            <b/>
            <sz val="9"/>
            <color indexed="81"/>
            <rFont val="Tahoma"/>
            <family val="2"/>
          </rPr>
          <t>Administrator:</t>
        </r>
        <r>
          <rPr>
            <sz val="9"/>
            <color indexed="81"/>
            <rFont val="Tahoma"/>
            <family val="2"/>
          </rPr>
          <t xml:space="preserve">
KE SA 2013, Table 182(b)</t>
        </r>
      </text>
    </comment>
    <comment ref="CB8" authorId="1" shapeId="0">
      <text>
        <r>
          <rPr>
            <b/>
            <sz val="9"/>
            <color indexed="81"/>
            <rFont val="Tahoma"/>
            <family val="2"/>
          </rPr>
          <t>Administrator:</t>
        </r>
        <r>
          <rPr>
            <sz val="9"/>
            <color indexed="81"/>
            <rFont val="Tahoma"/>
            <family val="2"/>
          </rPr>
          <t xml:space="preserve">
KE SA 2015, Table 180(b)</t>
        </r>
      </text>
    </comment>
    <comment ref="AF9" authorId="0" shapeId="0">
      <text>
        <r>
          <rPr>
            <b/>
            <sz val="9"/>
            <color indexed="81"/>
            <rFont val="Tahoma"/>
            <family val="2"/>
          </rPr>
          <t>Rebecca:</t>
        </r>
        <r>
          <rPr>
            <sz val="9"/>
            <color indexed="81"/>
            <rFont val="Tahoma"/>
            <family val="2"/>
          </rPr>
          <t xml:space="preserve">
Problem with data series. Survey improved in 1965.</t>
        </r>
      </text>
    </comment>
    <comment ref="D10" authorId="0" shapeId="0">
      <text>
        <r>
          <rPr>
            <b/>
            <sz val="9"/>
            <color indexed="81"/>
            <rFont val="Tahoma"/>
            <family val="2"/>
          </rPr>
          <t>Rebecca:</t>
        </r>
        <r>
          <rPr>
            <sz val="9"/>
            <color indexed="81"/>
            <rFont val="Tahoma"/>
            <family val="2"/>
          </rPr>
          <t xml:space="preserve">
EA ESB 1951, No.14, Table E3</t>
        </r>
      </text>
    </comment>
    <comment ref="I10" authorId="0" shapeId="0">
      <text>
        <r>
          <rPr>
            <b/>
            <sz val="9"/>
            <color indexed="81"/>
            <rFont val="Tahoma"/>
            <family val="2"/>
          </rPr>
          <t>Rebecca:</t>
        </r>
        <r>
          <rPr>
            <sz val="9"/>
            <color indexed="81"/>
            <rFont val="Tahoma"/>
            <family val="2"/>
          </rPr>
          <t xml:space="preserve">
EA ESB 1951, No.14, Table E3</t>
        </r>
      </text>
    </comment>
    <comment ref="AP11" authorId="1" shapeId="0">
      <text>
        <r>
          <rPr>
            <b/>
            <sz val="9"/>
            <color indexed="81"/>
            <rFont val="Tahoma"/>
            <family val="2"/>
          </rPr>
          <t>Administrator:</t>
        </r>
        <r>
          <rPr>
            <sz val="9"/>
            <color indexed="81"/>
            <rFont val="Tahoma"/>
            <family val="2"/>
          </rPr>
          <t xml:space="preserve">
Bigsten 1987</t>
        </r>
      </text>
    </comment>
    <comment ref="AQ11" authorId="1" shapeId="0">
      <text>
        <r>
          <rPr>
            <b/>
            <sz val="9"/>
            <color indexed="81"/>
            <rFont val="Tahoma"/>
            <family val="2"/>
          </rPr>
          <t>Administrator:</t>
        </r>
        <r>
          <rPr>
            <sz val="9"/>
            <color indexed="81"/>
            <rFont val="Tahoma"/>
            <family val="2"/>
          </rPr>
          <t xml:space="preserve">
Imputed</t>
        </r>
      </text>
    </comment>
    <comment ref="AR11" authorId="1" shapeId="0">
      <text>
        <r>
          <rPr>
            <b/>
            <sz val="9"/>
            <color indexed="81"/>
            <rFont val="Tahoma"/>
            <family val="2"/>
          </rPr>
          <t>Administrator:</t>
        </r>
        <r>
          <rPr>
            <sz val="9"/>
            <color indexed="81"/>
            <rFont val="Tahoma"/>
            <family val="2"/>
          </rPr>
          <t xml:space="preserve">
Bigsten 1987</t>
        </r>
      </text>
    </comment>
    <comment ref="AS11" authorId="1" shapeId="0">
      <text>
        <r>
          <rPr>
            <b/>
            <sz val="9"/>
            <color indexed="81"/>
            <rFont val="Tahoma"/>
            <family val="2"/>
          </rPr>
          <t>Administrator:</t>
        </r>
        <r>
          <rPr>
            <sz val="9"/>
            <color indexed="81"/>
            <rFont val="Tahoma"/>
            <family val="2"/>
          </rPr>
          <t xml:space="preserve">
Imputed</t>
        </r>
      </text>
    </comment>
    <comment ref="AT11" authorId="1" shapeId="0">
      <text>
        <r>
          <rPr>
            <b/>
            <sz val="9"/>
            <color indexed="81"/>
            <rFont val="Tahoma"/>
            <family val="2"/>
          </rPr>
          <t>Administrator:</t>
        </r>
        <r>
          <rPr>
            <sz val="9"/>
            <color indexed="81"/>
            <rFont val="Tahoma"/>
            <family val="2"/>
          </rPr>
          <t xml:space="preserve">
Imputed</t>
        </r>
      </text>
    </comment>
    <comment ref="AP12" authorId="1" shapeId="0">
      <text>
        <r>
          <rPr>
            <b/>
            <sz val="9"/>
            <color indexed="81"/>
            <rFont val="Tahoma"/>
            <family val="2"/>
          </rPr>
          <t>Administrator:</t>
        </r>
        <r>
          <rPr>
            <sz val="9"/>
            <color indexed="81"/>
            <rFont val="Tahoma"/>
            <family val="2"/>
          </rPr>
          <t xml:space="preserve">
Estimate</t>
        </r>
      </text>
    </comment>
    <comment ref="AR12" authorId="0" shapeId="0">
      <text>
        <r>
          <rPr>
            <b/>
            <sz val="9"/>
            <color indexed="81"/>
            <rFont val="Tahoma"/>
            <family val="2"/>
          </rPr>
          <t>Rebecca:</t>
        </r>
        <r>
          <rPr>
            <sz val="9"/>
            <color indexed="81"/>
            <rFont val="Tahoma"/>
            <family val="2"/>
          </rPr>
          <t xml:space="preserve">
Non-citizen</t>
        </r>
      </text>
    </comment>
    <comment ref="AT12" authorId="1" shapeId="0">
      <text>
        <r>
          <rPr>
            <b/>
            <sz val="9"/>
            <color indexed="81"/>
            <rFont val="Tahoma"/>
            <family val="2"/>
          </rPr>
          <t>Administrator:</t>
        </r>
        <r>
          <rPr>
            <sz val="9"/>
            <color indexed="81"/>
            <rFont val="Tahoma"/>
            <family val="2"/>
          </rPr>
          <t xml:space="preserve">
Imputed</t>
        </r>
      </text>
    </comment>
    <comment ref="D14" authorId="0" shapeId="0">
      <text>
        <r>
          <rPr>
            <b/>
            <sz val="9"/>
            <color indexed="81"/>
            <rFont val="Tahoma"/>
            <family val="2"/>
          </rPr>
          <t>Rebecca:</t>
        </r>
        <r>
          <rPr>
            <sz val="9"/>
            <color indexed="81"/>
            <rFont val="Tahoma"/>
            <family val="2"/>
          </rPr>
          <t xml:space="preserve">
EA ESB 1951, No.14, Table E3</t>
        </r>
      </text>
    </comment>
    <comment ref="I14" authorId="0" shapeId="0">
      <text>
        <r>
          <rPr>
            <b/>
            <sz val="9"/>
            <color indexed="81"/>
            <rFont val="Tahoma"/>
            <family val="2"/>
          </rPr>
          <t>Rebecca:</t>
        </r>
        <r>
          <rPr>
            <sz val="9"/>
            <color indexed="81"/>
            <rFont val="Tahoma"/>
            <family val="2"/>
          </rPr>
          <t xml:space="preserve">
EA ESB 1951, No.14, Table E3</t>
        </r>
      </text>
    </comment>
    <comment ref="C18" authorId="1" shapeId="0">
      <text>
        <r>
          <rPr>
            <b/>
            <sz val="9"/>
            <color indexed="81"/>
            <rFont val="Tahoma"/>
            <family val="2"/>
          </rPr>
          <t>Administrator:</t>
        </r>
        <r>
          <rPr>
            <sz val="9"/>
            <color indexed="81"/>
            <rFont val="Tahoma"/>
            <family val="2"/>
          </rPr>
          <t xml:space="preserve">
Reclassified into consistent categories.</t>
        </r>
      </text>
    </comment>
    <comment ref="W18" authorId="0" shapeId="0">
      <text>
        <r>
          <rPr>
            <b/>
            <sz val="9"/>
            <color indexed="81"/>
            <rFont val="Tahoma"/>
            <family val="2"/>
          </rPr>
          <t>Rebecca:</t>
        </r>
        <r>
          <rPr>
            <sz val="9"/>
            <color indexed="81"/>
            <rFont val="Tahoma"/>
            <family val="2"/>
          </rPr>
          <t xml:space="preserve">
KE EES 1955 &amp; 1956, Table IV</t>
        </r>
      </text>
    </comment>
    <comment ref="X18" authorId="0" shapeId="0">
      <text>
        <r>
          <rPr>
            <b/>
            <sz val="9"/>
            <color indexed="81"/>
            <rFont val="Tahoma"/>
            <family val="2"/>
          </rPr>
          <t>Rebecca:</t>
        </r>
        <r>
          <rPr>
            <sz val="9"/>
            <color indexed="81"/>
            <rFont val="Tahoma"/>
            <family val="2"/>
          </rPr>
          <t xml:space="preserve">
KE EES 1955 &amp; 1956, Table V</t>
        </r>
      </text>
    </comment>
    <comment ref="Y18" authorId="0" shapeId="0">
      <text>
        <r>
          <rPr>
            <b/>
            <sz val="9"/>
            <color indexed="81"/>
            <rFont val="Tahoma"/>
            <family val="2"/>
          </rPr>
          <t>Rebecca:</t>
        </r>
        <r>
          <rPr>
            <sz val="9"/>
            <color indexed="81"/>
            <rFont val="Tahoma"/>
            <family val="2"/>
          </rPr>
          <t xml:space="preserve">
KE EES 1957, Table III</t>
        </r>
      </text>
    </comment>
    <comment ref="Z18" authorId="1" shapeId="0">
      <text>
        <r>
          <rPr>
            <b/>
            <sz val="9"/>
            <color indexed="81"/>
            <rFont val="Tahoma"/>
            <family val="2"/>
          </rPr>
          <t>Administrator:</t>
        </r>
        <r>
          <rPr>
            <sz val="9"/>
            <color indexed="81"/>
            <rFont val="Tahoma"/>
            <family val="2"/>
          </rPr>
          <t xml:space="preserve">
KE ES 1960, Table 14</t>
        </r>
      </text>
    </comment>
    <comment ref="AB18" authorId="1" shapeId="0">
      <text>
        <r>
          <rPr>
            <b/>
            <sz val="9"/>
            <color indexed="81"/>
            <rFont val="Tahoma"/>
            <family val="2"/>
          </rPr>
          <t>Administrator:</t>
        </r>
        <r>
          <rPr>
            <sz val="9"/>
            <color indexed="81"/>
            <rFont val="Tahoma"/>
            <family val="2"/>
          </rPr>
          <t xml:space="preserve">
KE ES 1962, Table 21</t>
        </r>
      </text>
    </comment>
    <comment ref="AE18" authorId="1" shapeId="0">
      <text>
        <r>
          <rPr>
            <b/>
            <sz val="9"/>
            <color indexed="81"/>
            <rFont val="Tahoma"/>
            <family val="2"/>
          </rPr>
          <t>Administrator:</t>
        </r>
        <r>
          <rPr>
            <sz val="9"/>
            <color indexed="81"/>
            <rFont val="Tahoma"/>
            <family val="2"/>
          </rPr>
          <t xml:space="preserve">
KE SA 1974, Table 223</t>
        </r>
      </text>
    </comment>
    <comment ref="AO18" authorId="1" shapeId="0">
      <text>
        <r>
          <rPr>
            <b/>
            <sz val="9"/>
            <color indexed="81"/>
            <rFont val="Tahoma"/>
            <family val="2"/>
          </rPr>
          <t>Administrator:</t>
        </r>
        <r>
          <rPr>
            <sz val="9"/>
            <color indexed="81"/>
            <rFont val="Tahoma"/>
            <family val="2"/>
          </rPr>
          <t xml:space="preserve">
KE SA 1977, Table 260</t>
        </r>
      </text>
    </comment>
    <comment ref="AQ18" authorId="1" shapeId="0">
      <text>
        <r>
          <rPr>
            <b/>
            <sz val="9"/>
            <color indexed="81"/>
            <rFont val="Tahoma"/>
            <family val="2"/>
          </rPr>
          <t>Administrator:</t>
        </r>
        <r>
          <rPr>
            <sz val="9"/>
            <color indexed="81"/>
            <rFont val="Tahoma"/>
            <family val="2"/>
          </rPr>
          <t xml:space="preserve">
KE SA 1980, Table 238</t>
        </r>
      </text>
    </comment>
    <comment ref="AV18" authorId="1" shapeId="0">
      <text>
        <r>
          <rPr>
            <b/>
            <sz val="9"/>
            <color indexed="81"/>
            <rFont val="Tahoma"/>
            <family val="2"/>
          </rPr>
          <t>Administrator:</t>
        </r>
        <r>
          <rPr>
            <sz val="9"/>
            <color indexed="81"/>
            <rFont val="Tahoma"/>
            <family val="2"/>
          </rPr>
          <t xml:space="preserve">
KE SA 1985, Table 214</t>
        </r>
      </text>
    </comment>
    <comment ref="BA18" authorId="1" shapeId="0">
      <text>
        <r>
          <rPr>
            <b/>
            <sz val="9"/>
            <color indexed="81"/>
            <rFont val="Tahoma"/>
            <family val="2"/>
          </rPr>
          <t>Administrator:</t>
        </r>
        <r>
          <rPr>
            <sz val="9"/>
            <color indexed="81"/>
            <rFont val="Tahoma"/>
            <family val="2"/>
          </rPr>
          <t xml:space="preserve">
KE SA 1989, Table 212</t>
        </r>
      </text>
    </comment>
    <comment ref="BE18" authorId="1" shapeId="0">
      <text>
        <r>
          <rPr>
            <b/>
            <sz val="9"/>
            <color indexed="81"/>
            <rFont val="Tahoma"/>
            <family val="2"/>
          </rPr>
          <t>Administrator:</t>
        </r>
        <r>
          <rPr>
            <sz val="9"/>
            <color indexed="81"/>
            <rFont val="Tahoma"/>
            <family val="2"/>
          </rPr>
          <t xml:space="preserve">
KE SA 1994, Table 207</t>
        </r>
      </text>
    </comment>
    <comment ref="BJ18" authorId="1" shapeId="0">
      <text>
        <r>
          <rPr>
            <b/>
            <sz val="9"/>
            <color indexed="81"/>
            <rFont val="Tahoma"/>
            <family val="2"/>
          </rPr>
          <t>Administrator:</t>
        </r>
        <r>
          <rPr>
            <sz val="9"/>
            <color indexed="81"/>
            <rFont val="Tahoma"/>
            <family val="2"/>
          </rPr>
          <t xml:space="preserve">
KE SA 2000, Table 188</t>
        </r>
      </text>
    </comment>
    <comment ref="BS18" authorId="1" shapeId="0">
      <text>
        <r>
          <rPr>
            <b/>
            <sz val="9"/>
            <color indexed="81"/>
            <rFont val="Tahoma"/>
            <family val="2"/>
          </rPr>
          <t>Administrator:</t>
        </r>
        <r>
          <rPr>
            <sz val="9"/>
            <color indexed="81"/>
            <rFont val="Tahoma"/>
            <family val="2"/>
          </rPr>
          <t xml:space="preserve">
KE SA 2008, Table 184(b)</t>
        </r>
      </text>
    </comment>
    <comment ref="BW18" authorId="1" shapeId="0">
      <text>
        <r>
          <rPr>
            <b/>
            <sz val="9"/>
            <color indexed="81"/>
            <rFont val="Tahoma"/>
            <family val="2"/>
          </rPr>
          <t>Administrator:</t>
        </r>
        <r>
          <rPr>
            <sz val="9"/>
            <color indexed="81"/>
            <rFont val="Tahoma"/>
            <family val="2"/>
          </rPr>
          <t xml:space="preserve">
KE SA 2010, Table 182(b)</t>
        </r>
      </text>
    </comment>
    <comment ref="BX18" authorId="1" shapeId="0">
      <text>
        <r>
          <rPr>
            <b/>
            <sz val="9"/>
            <color indexed="81"/>
            <rFont val="Tahoma"/>
            <family val="2"/>
          </rPr>
          <t>Administrator:</t>
        </r>
        <r>
          <rPr>
            <sz val="9"/>
            <color indexed="81"/>
            <rFont val="Tahoma"/>
            <family val="2"/>
          </rPr>
          <t xml:space="preserve">
KE SA 2013, Table 182(b)</t>
        </r>
      </text>
    </comment>
    <comment ref="CB18" authorId="1" shapeId="0">
      <text>
        <r>
          <rPr>
            <b/>
            <sz val="9"/>
            <color indexed="81"/>
            <rFont val="Tahoma"/>
            <family val="2"/>
          </rPr>
          <t>Administrator:</t>
        </r>
        <r>
          <rPr>
            <sz val="9"/>
            <color indexed="81"/>
            <rFont val="Tahoma"/>
            <family val="2"/>
          </rPr>
          <t xml:space="preserve">
KE SA 2015, Table 180(b)</t>
        </r>
      </text>
    </comment>
    <comment ref="CC18" authorId="1" shapeId="0">
      <text>
        <r>
          <rPr>
            <b/>
            <sz val="9"/>
            <color indexed="81"/>
            <rFont val="Tahoma"/>
            <family val="2"/>
          </rPr>
          <t>Administrator:</t>
        </r>
        <r>
          <rPr>
            <sz val="9"/>
            <color indexed="81"/>
            <rFont val="Tahoma"/>
            <family val="2"/>
          </rPr>
          <t xml:space="preserve">
Post-devolution structure</t>
        </r>
      </text>
    </comment>
    <comment ref="Q19" authorId="1" shapeId="0">
      <text>
        <r>
          <rPr>
            <b/>
            <sz val="9"/>
            <color indexed="81"/>
            <rFont val="Tahoma"/>
            <family val="2"/>
          </rPr>
          <t>Administrator:</t>
        </r>
        <r>
          <rPr>
            <sz val="9"/>
            <color indexed="81"/>
            <rFont val="Tahoma"/>
            <family val="2"/>
          </rPr>
          <t xml:space="preserve">
Calculated as a share of total public employment, based on 1948 and 1955 shares. </t>
        </r>
      </text>
    </comment>
    <comment ref="C20" authorId="1" shapeId="0">
      <text>
        <r>
          <rPr>
            <b/>
            <sz val="9"/>
            <color indexed="81"/>
            <rFont val="Tahoma"/>
            <family val="2"/>
          </rPr>
          <t>Administrator:</t>
        </r>
        <r>
          <rPr>
            <sz val="9"/>
            <color indexed="81"/>
            <rFont val="Tahoma"/>
            <family val="2"/>
          </rPr>
          <t xml:space="preserve">
Including the East Africa High Commission / Common Services general administrative staff. </t>
        </r>
      </text>
    </comment>
    <comment ref="AL22" authorId="1" shapeId="0">
      <text>
        <r>
          <rPr>
            <b/>
            <sz val="9"/>
            <color indexed="81"/>
            <rFont val="Tahoma"/>
            <family val="2"/>
          </rPr>
          <t>Administrator:</t>
        </r>
        <r>
          <rPr>
            <sz val="9"/>
            <color indexed="81"/>
            <rFont val="Tahoma"/>
            <family val="2"/>
          </rPr>
          <t xml:space="preserve">
Teacher share has been estimated for 1970-79 at 70% of the separate industrial employment category 'education in the public sector'.</t>
        </r>
      </text>
    </comment>
    <comment ref="C23" authorId="1" shapeId="0">
      <text>
        <r>
          <rPr>
            <b/>
            <sz val="9"/>
            <color indexed="81"/>
            <rFont val="Tahoma"/>
            <family val="2"/>
          </rPr>
          <t>Administrator:</t>
        </r>
        <r>
          <rPr>
            <sz val="9"/>
            <color indexed="81"/>
            <rFont val="Tahoma"/>
            <family val="2"/>
          </rPr>
          <t xml:space="preserve">
Including all East African 'Community' parastatals, which are listed separately until 1977.</t>
        </r>
      </text>
    </comment>
    <comment ref="Q23" authorId="1" shapeId="0">
      <text>
        <r>
          <rPr>
            <b/>
            <sz val="9"/>
            <color indexed="81"/>
            <rFont val="Tahoma"/>
            <family val="2"/>
          </rPr>
          <t>Administrator:</t>
        </r>
        <r>
          <rPr>
            <sz val="9"/>
            <color indexed="81"/>
            <rFont val="Tahoma"/>
            <family val="2"/>
          </rPr>
          <t xml:space="preserve">
Calculated as a share of total public employment, based on 1948 and 1955 shares. </t>
        </r>
      </text>
    </comment>
    <comment ref="AT28" authorId="1" shapeId="0">
      <text>
        <r>
          <rPr>
            <b/>
            <sz val="9"/>
            <color indexed="81"/>
            <rFont val="Tahoma"/>
            <family val="2"/>
          </rPr>
          <t>Administrator:</t>
        </r>
        <r>
          <rPr>
            <sz val="9"/>
            <color indexed="81"/>
            <rFont val="Tahoma"/>
            <family val="2"/>
          </rPr>
          <t xml:space="preserve">
KE ES 1982, Tables 5.15, 5.17, 5.22 &amp; 5.23 (data from urban and rural labour force surveys); KE CENSUS 1979.
Total extrapolated using using 1979 census, assuming 3% growth in employment between 1978-79.</t>
        </r>
      </text>
    </comment>
    <comment ref="BH28" authorId="1" shapeId="0">
      <text>
        <r>
          <rPr>
            <b/>
            <sz val="9"/>
            <color indexed="81"/>
            <rFont val="Tahoma"/>
            <family val="2"/>
          </rPr>
          <t>Administrator:</t>
        </r>
        <r>
          <rPr>
            <sz val="9"/>
            <color indexed="81"/>
            <rFont val="Tahoma"/>
            <family val="2"/>
          </rPr>
          <t xml:space="preserve">
KE WMS 1992.
Using reported sector of employment but excluding those reporting themselves to be unemployed. Note that the 1992 survey excluded Turkana, Masabit and Samburu.</t>
        </r>
      </text>
    </comment>
    <comment ref="BJ28" authorId="1" shapeId="0">
      <text>
        <r>
          <rPr>
            <b/>
            <sz val="9"/>
            <color indexed="81"/>
            <rFont val="Tahoma"/>
            <family val="2"/>
          </rPr>
          <t>Administrator:</t>
        </r>
        <r>
          <rPr>
            <sz val="9"/>
            <color indexed="81"/>
            <rFont val="Tahoma"/>
            <family val="2"/>
          </rPr>
          <t xml:space="preserve">
KE WMS 1994
Using public sector variables but removing those reporting annual incomes 
annual income below KSh.500 and working less than 9 months in past year (unless employed in past year).</t>
        </r>
      </text>
    </comment>
    <comment ref="BM28" authorId="1" shapeId="0">
      <text>
        <r>
          <rPr>
            <b/>
            <sz val="9"/>
            <color indexed="81"/>
            <rFont val="Tahoma"/>
            <family val="2"/>
          </rPr>
          <t>Administrator:</t>
        </r>
        <r>
          <rPr>
            <sz val="9"/>
            <color indexed="81"/>
            <rFont val="Tahoma"/>
            <family val="2"/>
          </rPr>
          <t xml:space="preserve">
KE WMS 1997
Removed those public sector workers also classified as pensioners or own account workers</t>
        </r>
      </text>
    </comment>
    <comment ref="BO28" authorId="1" shapeId="0">
      <text>
        <r>
          <rPr>
            <b/>
            <sz val="9"/>
            <color indexed="81"/>
            <rFont val="Tahoma"/>
            <family val="2"/>
          </rPr>
          <t>Administrator:</t>
        </r>
        <r>
          <rPr>
            <sz val="9"/>
            <color indexed="81"/>
            <rFont val="Tahoma"/>
            <family val="2"/>
          </rPr>
          <t xml:space="preserve">
KE LFS 1998/99</t>
        </r>
      </text>
    </comment>
    <comment ref="BV28" authorId="1" shapeId="0">
      <text>
        <r>
          <rPr>
            <b/>
            <sz val="9"/>
            <color indexed="81"/>
            <rFont val="Tahoma"/>
            <family val="2"/>
          </rPr>
          <t>Administrator:</t>
        </r>
        <r>
          <rPr>
            <sz val="9"/>
            <color indexed="81"/>
            <rFont val="Tahoma"/>
            <family val="2"/>
          </rPr>
          <t xml:space="preserve">
KE IHBS 2005/06</t>
        </r>
      </text>
    </comment>
    <comment ref="BY28" authorId="1" shapeId="0">
      <text>
        <r>
          <rPr>
            <b/>
            <sz val="9"/>
            <color indexed="81"/>
            <rFont val="Tahoma"/>
            <family val="2"/>
          </rPr>
          <t>Administrator:</t>
        </r>
        <r>
          <rPr>
            <sz val="9"/>
            <color indexed="81"/>
            <rFont val="Tahoma"/>
            <family val="2"/>
          </rPr>
          <t xml:space="preserve">
KE CENSUS 2009</t>
        </r>
      </text>
    </comment>
    <comment ref="W30" authorId="0" shapeId="0">
      <text>
        <r>
          <rPr>
            <b/>
            <sz val="9"/>
            <color indexed="81"/>
            <rFont val="Tahoma"/>
            <family val="2"/>
          </rPr>
          <t>Rebecca:</t>
        </r>
        <r>
          <rPr>
            <sz val="9"/>
            <color indexed="81"/>
            <rFont val="Tahoma"/>
            <family val="2"/>
          </rPr>
          <t xml:space="preserve">
KE EES 1955 &amp; 1956, Table 2.</t>
        </r>
      </text>
    </comment>
    <comment ref="Y30" authorId="1" shapeId="0">
      <text>
        <r>
          <rPr>
            <b/>
            <sz val="9"/>
            <color indexed="81"/>
            <rFont val="Tahoma"/>
            <family val="2"/>
          </rPr>
          <t>Administrator:</t>
        </r>
        <r>
          <rPr>
            <sz val="9"/>
            <color indexed="81"/>
            <rFont val="Tahoma"/>
            <family val="2"/>
          </rPr>
          <t xml:space="preserve">
KE SA 1967, Table 171(b)</t>
        </r>
      </text>
    </comment>
    <comment ref="AI30" authorId="1" shapeId="0">
      <text>
        <r>
          <rPr>
            <b/>
            <sz val="9"/>
            <color indexed="81"/>
            <rFont val="Tahoma"/>
            <family val="2"/>
          </rPr>
          <t>Administrator:</t>
        </r>
        <r>
          <rPr>
            <sz val="9"/>
            <color indexed="81"/>
            <rFont val="Tahoma"/>
            <family val="2"/>
          </rPr>
          <t xml:space="preserve">
KE SA 1974, Table 238</t>
        </r>
      </text>
    </comment>
    <comment ref="AO30" authorId="1" shapeId="0">
      <text>
        <r>
          <rPr>
            <b/>
            <sz val="9"/>
            <color indexed="81"/>
            <rFont val="Tahoma"/>
            <family val="2"/>
          </rPr>
          <t>Administrator:</t>
        </r>
        <r>
          <rPr>
            <sz val="9"/>
            <color indexed="81"/>
            <rFont val="Tahoma"/>
            <family val="2"/>
          </rPr>
          <t xml:space="preserve">
KE SA 1977, Table 273</t>
        </r>
      </text>
    </comment>
    <comment ref="AQ30" authorId="1" shapeId="0">
      <text>
        <r>
          <rPr>
            <b/>
            <sz val="9"/>
            <color indexed="81"/>
            <rFont val="Tahoma"/>
            <family val="2"/>
          </rPr>
          <t>Administrator:</t>
        </r>
        <r>
          <rPr>
            <sz val="9"/>
            <color indexed="81"/>
            <rFont val="Tahoma"/>
            <family val="2"/>
          </rPr>
          <t xml:space="preserve">
KE SA 1980, Table 244</t>
        </r>
      </text>
    </comment>
    <comment ref="AV30" authorId="1" shapeId="0">
      <text>
        <r>
          <rPr>
            <b/>
            <sz val="9"/>
            <color indexed="81"/>
            <rFont val="Tahoma"/>
            <family val="2"/>
          </rPr>
          <t>Administrator:</t>
        </r>
        <r>
          <rPr>
            <sz val="9"/>
            <color indexed="81"/>
            <rFont val="Tahoma"/>
            <family val="2"/>
          </rPr>
          <t xml:space="preserve">
KE SA 1985, Table 220</t>
        </r>
      </text>
    </comment>
    <comment ref="BB30" authorId="1" shapeId="0">
      <text>
        <r>
          <rPr>
            <b/>
            <sz val="9"/>
            <color indexed="81"/>
            <rFont val="Tahoma"/>
            <family val="2"/>
          </rPr>
          <t>Administrator:</t>
        </r>
        <r>
          <rPr>
            <sz val="9"/>
            <color indexed="81"/>
            <rFont val="Tahoma"/>
            <family val="2"/>
          </rPr>
          <t xml:space="preserve">
KE SA 1989, table 218</t>
        </r>
      </text>
    </comment>
    <comment ref="BE30" authorId="1" shapeId="0">
      <text>
        <r>
          <rPr>
            <b/>
            <sz val="9"/>
            <color indexed="81"/>
            <rFont val="Tahoma"/>
            <family val="2"/>
          </rPr>
          <t>Administrator:</t>
        </r>
        <r>
          <rPr>
            <sz val="9"/>
            <color indexed="81"/>
            <rFont val="Tahoma"/>
            <family val="2"/>
          </rPr>
          <t xml:space="preserve">
KE SA 1994, Table 213</t>
        </r>
      </text>
    </comment>
    <comment ref="BJ30" authorId="1" shapeId="0">
      <text>
        <r>
          <rPr>
            <b/>
            <sz val="9"/>
            <color indexed="81"/>
            <rFont val="Tahoma"/>
            <family val="2"/>
          </rPr>
          <t>Administrator:</t>
        </r>
        <r>
          <rPr>
            <sz val="9"/>
            <color indexed="81"/>
            <rFont val="Tahoma"/>
            <family val="2"/>
          </rPr>
          <t xml:space="preserve">
KE SA 2000, Table 194</t>
        </r>
      </text>
    </comment>
    <comment ref="BN30" authorId="1" shapeId="0">
      <text>
        <r>
          <rPr>
            <b/>
            <sz val="9"/>
            <color indexed="81"/>
            <rFont val="Tahoma"/>
            <family val="2"/>
          </rPr>
          <t>Administrator:</t>
        </r>
        <r>
          <rPr>
            <sz val="9"/>
            <color indexed="81"/>
            <rFont val="Tahoma"/>
            <family val="2"/>
          </rPr>
          <t xml:space="preserve">
KE ES 2002</t>
        </r>
      </text>
    </comment>
    <comment ref="BO30" authorId="1" shapeId="0">
      <text>
        <r>
          <rPr>
            <b/>
            <sz val="9"/>
            <color indexed="81"/>
            <rFont val="Tahoma"/>
            <family val="2"/>
          </rPr>
          <t>Administrator:</t>
        </r>
        <r>
          <rPr>
            <sz val="9"/>
            <color indexed="81"/>
            <rFont val="Tahoma"/>
            <family val="2"/>
          </rPr>
          <t xml:space="preserve">
KS SA 2004, Table 197</t>
        </r>
      </text>
    </comment>
    <comment ref="BS30" authorId="1" shapeId="0">
      <text>
        <r>
          <rPr>
            <b/>
            <sz val="9"/>
            <color indexed="81"/>
            <rFont val="Tahoma"/>
            <family val="2"/>
          </rPr>
          <t>Administrator:</t>
        </r>
        <r>
          <rPr>
            <sz val="9"/>
            <color indexed="81"/>
            <rFont val="Tahoma"/>
            <family val="2"/>
          </rPr>
          <t xml:space="preserve">
KE SA 2008, Table 190</t>
        </r>
      </text>
    </comment>
    <comment ref="BU30" authorId="1" shapeId="0">
      <text>
        <r>
          <rPr>
            <b/>
            <sz val="9"/>
            <color indexed="81"/>
            <rFont val="Tahoma"/>
            <family val="2"/>
          </rPr>
          <t>Administrator:</t>
        </r>
        <r>
          <rPr>
            <sz val="9"/>
            <color indexed="81"/>
            <rFont val="Tahoma"/>
            <family val="2"/>
          </rPr>
          <t xml:space="preserve">
</t>
        </r>
      </text>
    </comment>
    <comment ref="BV30" authorId="1" shapeId="0">
      <text>
        <r>
          <rPr>
            <b/>
            <sz val="9"/>
            <color indexed="81"/>
            <rFont val="Tahoma"/>
            <family val="2"/>
          </rPr>
          <t>Administrator:</t>
        </r>
        <r>
          <rPr>
            <sz val="9"/>
            <color indexed="81"/>
            <rFont val="Tahoma"/>
            <family val="2"/>
          </rPr>
          <t xml:space="preserve">
KE SA 2010, Table 188</t>
        </r>
      </text>
    </comment>
    <comment ref="BX30" authorId="1" shapeId="0">
      <text>
        <r>
          <rPr>
            <b/>
            <sz val="9"/>
            <color indexed="81"/>
            <rFont val="Tahoma"/>
            <family val="2"/>
          </rPr>
          <t>Administrator:</t>
        </r>
        <r>
          <rPr>
            <sz val="9"/>
            <color indexed="81"/>
            <rFont val="Tahoma"/>
            <family val="2"/>
          </rPr>
          <t xml:space="preserve">
KE SA 2013, Table 187</t>
        </r>
      </text>
    </comment>
    <comment ref="CB30" authorId="1" shapeId="0">
      <text>
        <r>
          <rPr>
            <b/>
            <sz val="9"/>
            <color indexed="81"/>
            <rFont val="Tahoma"/>
            <family val="2"/>
          </rPr>
          <t>Administrator:</t>
        </r>
        <r>
          <rPr>
            <sz val="9"/>
            <color indexed="81"/>
            <rFont val="Tahoma"/>
            <family val="2"/>
          </rPr>
          <t xml:space="preserve">
KE SA 2015, Table 183</t>
        </r>
      </text>
    </comment>
    <comment ref="AO33" authorId="1" shapeId="0">
      <text>
        <r>
          <rPr>
            <b/>
            <sz val="9"/>
            <color indexed="81"/>
            <rFont val="Tahoma"/>
            <family val="2"/>
          </rPr>
          <t>Administrator:</t>
        </r>
        <r>
          <rPr>
            <sz val="9"/>
            <color indexed="81"/>
            <rFont val="Tahoma"/>
            <family val="2"/>
          </rPr>
          <t xml:space="preserve">
Imputed</t>
        </r>
      </text>
    </comment>
    <comment ref="AP33" authorId="1" shapeId="0">
      <text>
        <r>
          <rPr>
            <b/>
            <sz val="9"/>
            <color indexed="81"/>
            <rFont val="Tahoma"/>
            <family val="2"/>
          </rPr>
          <t>Administrator:</t>
        </r>
        <r>
          <rPr>
            <sz val="9"/>
            <color indexed="81"/>
            <rFont val="Tahoma"/>
            <family val="2"/>
          </rPr>
          <t xml:space="preserve">
Alternative source:
Bigsten, 'Income distribution and growth', 1987</t>
        </r>
      </text>
    </comment>
    <comment ref="AQ33" authorId="1" shapeId="0">
      <text>
        <r>
          <rPr>
            <b/>
            <sz val="9"/>
            <color indexed="81"/>
            <rFont val="Tahoma"/>
            <family val="2"/>
          </rPr>
          <t>Administrator:</t>
        </r>
        <r>
          <rPr>
            <sz val="9"/>
            <color indexed="81"/>
            <rFont val="Tahoma"/>
            <family val="2"/>
          </rPr>
          <t xml:space="preserve">
Imputed</t>
        </r>
      </text>
    </comment>
    <comment ref="AR33" authorId="1" shapeId="0">
      <text>
        <r>
          <rPr>
            <b/>
            <sz val="9"/>
            <color indexed="81"/>
            <rFont val="Tahoma"/>
            <family val="2"/>
          </rPr>
          <t>Administrator:</t>
        </r>
        <r>
          <rPr>
            <sz val="9"/>
            <color indexed="81"/>
            <rFont val="Tahoma"/>
            <family val="2"/>
          </rPr>
          <t xml:space="preserve">
Bigsten 1987</t>
        </r>
      </text>
    </comment>
    <comment ref="AC34" authorId="0" shapeId="0">
      <text>
        <r>
          <rPr>
            <b/>
            <sz val="9"/>
            <color indexed="81"/>
            <rFont val="Tahoma"/>
            <family val="2"/>
          </rPr>
          <t>Rebecca:</t>
        </r>
        <r>
          <rPr>
            <sz val="9"/>
            <color indexed="81"/>
            <rFont val="Tahoma"/>
            <family val="2"/>
          </rPr>
          <t xml:space="preserve">
Flemming salaries award - seems some of the 1960 backdated award paid in arrears in 1961 which accounts for this spike.</t>
        </r>
      </text>
    </comment>
    <comment ref="O35" authorId="1" shapeId="0">
      <text>
        <r>
          <rPr>
            <b/>
            <sz val="9"/>
            <color indexed="81"/>
            <rFont val="Tahoma"/>
            <family val="2"/>
          </rPr>
          <t>Administrator:</t>
        </r>
        <r>
          <rPr>
            <sz val="9"/>
            <color indexed="81"/>
            <rFont val="Tahoma"/>
            <family val="2"/>
          </rPr>
          <t xml:space="preserve">
Estimated by multiplying average wage rate for African workers (male, female and juvenile) with total employment, above.
Wage data taken from: 
KE SA 1955, Table 160 (b). </t>
        </r>
      </text>
    </comment>
    <comment ref="AO36" authorId="1" shapeId="0">
      <text>
        <r>
          <rPr>
            <b/>
            <sz val="9"/>
            <color indexed="81"/>
            <rFont val="Tahoma"/>
            <family val="2"/>
          </rPr>
          <t>Administrator:</t>
        </r>
        <r>
          <rPr>
            <sz val="9"/>
            <color indexed="81"/>
            <rFont val="Tahoma"/>
            <family val="2"/>
          </rPr>
          <t xml:space="preserve">
Alternative source:
Bigsten, 'Income distribution and growth', 1987</t>
        </r>
      </text>
    </comment>
    <comment ref="W38" authorId="0" shapeId="0">
      <text>
        <r>
          <rPr>
            <b/>
            <sz val="9"/>
            <color indexed="81"/>
            <rFont val="Tahoma"/>
            <family val="2"/>
          </rPr>
          <t>Rebecca:</t>
        </r>
        <r>
          <rPr>
            <sz val="9"/>
            <color indexed="81"/>
            <rFont val="Tahoma"/>
            <family val="2"/>
          </rPr>
          <t xml:space="preserve">
KE EES 1955 &amp; 1956, Table IV</t>
        </r>
      </text>
    </comment>
    <comment ref="X38" authorId="0" shapeId="0">
      <text>
        <r>
          <rPr>
            <b/>
            <sz val="9"/>
            <color indexed="81"/>
            <rFont val="Tahoma"/>
            <family val="2"/>
          </rPr>
          <t>Rebecca:</t>
        </r>
        <r>
          <rPr>
            <sz val="9"/>
            <color indexed="81"/>
            <rFont val="Tahoma"/>
            <family val="2"/>
          </rPr>
          <t xml:space="preserve">
KE EES 1955 &amp; 1956, Table V</t>
        </r>
      </text>
    </comment>
    <comment ref="Y38" authorId="0" shapeId="0">
      <text>
        <r>
          <rPr>
            <b/>
            <sz val="9"/>
            <color indexed="81"/>
            <rFont val="Tahoma"/>
            <family val="2"/>
          </rPr>
          <t>Rebecca:</t>
        </r>
        <r>
          <rPr>
            <sz val="9"/>
            <color indexed="81"/>
            <rFont val="Tahoma"/>
            <family val="2"/>
          </rPr>
          <t xml:space="preserve">
KE EES 1957, Table III</t>
        </r>
      </text>
    </comment>
    <comment ref="Z38" authorId="1" shapeId="0">
      <text>
        <r>
          <rPr>
            <b/>
            <sz val="9"/>
            <color indexed="81"/>
            <rFont val="Tahoma"/>
            <family val="2"/>
          </rPr>
          <t>Administrator:</t>
        </r>
        <r>
          <rPr>
            <sz val="9"/>
            <color indexed="81"/>
            <rFont val="Tahoma"/>
            <family val="2"/>
          </rPr>
          <t xml:space="preserve">
KE ES 1960, Table 14</t>
        </r>
      </text>
    </comment>
    <comment ref="AB38" authorId="1" shapeId="0">
      <text>
        <r>
          <rPr>
            <b/>
            <sz val="9"/>
            <color indexed="81"/>
            <rFont val="Tahoma"/>
            <family val="2"/>
          </rPr>
          <t>Administrator:</t>
        </r>
        <r>
          <rPr>
            <sz val="9"/>
            <color indexed="81"/>
            <rFont val="Tahoma"/>
            <family val="2"/>
          </rPr>
          <t xml:space="preserve">
KE ES 1962, Table 21</t>
        </r>
      </text>
    </comment>
    <comment ref="AE38" authorId="1" shapeId="0">
      <text>
        <r>
          <rPr>
            <b/>
            <sz val="9"/>
            <color indexed="81"/>
            <rFont val="Tahoma"/>
            <family val="2"/>
          </rPr>
          <t>Administrator:</t>
        </r>
        <r>
          <rPr>
            <sz val="9"/>
            <color indexed="81"/>
            <rFont val="Tahoma"/>
            <family val="2"/>
          </rPr>
          <t xml:space="preserve">
KE SA 1974, Table 239</t>
        </r>
      </text>
    </comment>
    <comment ref="AO38" authorId="1" shapeId="0">
      <text>
        <r>
          <rPr>
            <b/>
            <sz val="9"/>
            <color indexed="81"/>
            <rFont val="Tahoma"/>
            <family val="2"/>
          </rPr>
          <t>Administrator:</t>
        </r>
        <r>
          <rPr>
            <sz val="9"/>
            <color indexed="81"/>
            <rFont val="Tahoma"/>
            <family val="2"/>
          </rPr>
          <t xml:space="preserve">
KE SA 1977, Table 273</t>
        </r>
      </text>
    </comment>
    <comment ref="AQ38" authorId="1" shapeId="0">
      <text>
        <r>
          <rPr>
            <b/>
            <sz val="9"/>
            <color indexed="81"/>
            <rFont val="Tahoma"/>
            <family val="2"/>
          </rPr>
          <t>Administrator:</t>
        </r>
        <r>
          <rPr>
            <sz val="9"/>
            <color indexed="81"/>
            <rFont val="Tahoma"/>
            <family val="2"/>
          </rPr>
          <t xml:space="preserve">
KE SA 1980, Table 244</t>
        </r>
      </text>
    </comment>
    <comment ref="AV38" authorId="1" shapeId="0">
      <text>
        <r>
          <rPr>
            <b/>
            <sz val="9"/>
            <color indexed="81"/>
            <rFont val="Tahoma"/>
            <family val="2"/>
          </rPr>
          <t>Administrator:</t>
        </r>
        <r>
          <rPr>
            <sz val="9"/>
            <color indexed="81"/>
            <rFont val="Tahoma"/>
            <family val="2"/>
          </rPr>
          <t xml:space="preserve">
KE SA 1985, Table 220</t>
        </r>
      </text>
    </comment>
    <comment ref="BB38" authorId="1" shapeId="0">
      <text>
        <r>
          <rPr>
            <b/>
            <sz val="9"/>
            <color indexed="81"/>
            <rFont val="Tahoma"/>
            <family val="2"/>
          </rPr>
          <t>Administrator:</t>
        </r>
        <r>
          <rPr>
            <sz val="9"/>
            <color indexed="81"/>
            <rFont val="Tahoma"/>
            <family val="2"/>
          </rPr>
          <t xml:space="preserve">
KE SA 1989, table 218</t>
        </r>
      </text>
    </comment>
    <comment ref="BE38" authorId="1" shapeId="0">
      <text>
        <r>
          <rPr>
            <b/>
            <sz val="9"/>
            <color indexed="81"/>
            <rFont val="Tahoma"/>
            <family val="2"/>
          </rPr>
          <t>Administrator:</t>
        </r>
        <r>
          <rPr>
            <sz val="9"/>
            <color indexed="81"/>
            <rFont val="Tahoma"/>
            <family val="2"/>
          </rPr>
          <t xml:space="preserve">
KE SA 1994, Table 213</t>
        </r>
      </text>
    </comment>
    <comment ref="BJ38" authorId="1" shapeId="0">
      <text>
        <r>
          <rPr>
            <b/>
            <sz val="9"/>
            <color indexed="81"/>
            <rFont val="Tahoma"/>
            <family val="2"/>
          </rPr>
          <t>Administrator:</t>
        </r>
        <r>
          <rPr>
            <sz val="9"/>
            <color indexed="81"/>
            <rFont val="Tahoma"/>
            <family val="2"/>
          </rPr>
          <t xml:space="preserve">
KE SA 2000, Table 194</t>
        </r>
      </text>
    </comment>
    <comment ref="BN38" authorId="1" shapeId="0">
      <text>
        <r>
          <rPr>
            <b/>
            <sz val="9"/>
            <color indexed="81"/>
            <rFont val="Tahoma"/>
            <family val="2"/>
          </rPr>
          <t>Administrator:</t>
        </r>
        <r>
          <rPr>
            <sz val="9"/>
            <color indexed="81"/>
            <rFont val="Tahoma"/>
            <family val="2"/>
          </rPr>
          <t xml:space="preserve">
KE ES 2002</t>
        </r>
      </text>
    </comment>
    <comment ref="BO38" authorId="1" shapeId="0">
      <text>
        <r>
          <rPr>
            <b/>
            <sz val="9"/>
            <color indexed="81"/>
            <rFont val="Tahoma"/>
            <family val="2"/>
          </rPr>
          <t>Administrator:</t>
        </r>
        <r>
          <rPr>
            <sz val="9"/>
            <color indexed="81"/>
            <rFont val="Tahoma"/>
            <family val="2"/>
          </rPr>
          <t xml:space="preserve">
KS SA 2004, Table 197</t>
        </r>
      </text>
    </comment>
    <comment ref="BS38" authorId="1" shapeId="0">
      <text>
        <r>
          <rPr>
            <b/>
            <sz val="9"/>
            <color indexed="81"/>
            <rFont val="Tahoma"/>
            <family val="2"/>
          </rPr>
          <t>Administrator:</t>
        </r>
        <r>
          <rPr>
            <sz val="9"/>
            <color indexed="81"/>
            <rFont val="Tahoma"/>
            <family val="2"/>
          </rPr>
          <t xml:space="preserve">
KE SA 2008, Table 190</t>
        </r>
      </text>
    </comment>
    <comment ref="BU38" authorId="1" shapeId="0">
      <text>
        <r>
          <rPr>
            <b/>
            <sz val="9"/>
            <color indexed="81"/>
            <rFont val="Tahoma"/>
            <family val="2"/>
          </rPr>
          <t>Administrator:</t>
        </r>
        <r>
          <rPr>
            <sz val="9"/>
            <color indexed="81"/>
            <rFont val="Tahoma"/>
            <family val="2"/>
          </rPr>
          <t xml:space="preserve">
</t>
        </r>
      </text>
    </comment>
    <comment ref="BV38" authorId="1" shapeId="0">
      <text>
        <r>
          <rPr>
            <b/>
            <sz val="9"/>
            <color indexed="81"/>
            <rFont val="Tahoma"/>
            <family val="2"/>
          </rPr>
          <t>Administrator:</t>
        </r>
        <r>
          <rPr>
            <sz val="9"/>
            <color indexed="81"/>
            <rFont val="Tahoma"/>
            <family val="2"/>
          </rPr>
          <t xml:space="preserve">
KE SA 2010, Table 188</t>
        </r>
      </text>
    </comment>
    <comment ref="BX38" authorId="1" shapeId="0">
      <text>
        <r>
          <rPr>
            <b/>
            <sz val="9"/>
            <color indexed="81"/>
            <rFont val="Tahoma"/>
            <family val="2"/>
          </rPr>
          <t>Administrator:</t>
        </r>
        <r>
          <rPr>
            <sz val="9"/>
            <color indexed="81"/>
            <rFont val="Tahoma"/>
            <family val="2"/>
          </rPr>
          <t xml:space="preserve">
KE SA 2013, Table 187</t>
        </r>
      </text>
    </comment>
    <comment ref="CB38" authorId="1" shapeId="0">
      <text>
        <r>
          <rPr>
            <b/>
            <sz val="9"/>
            <color indexed="81"/>
            <rFont val="Tahoma"/>
            <family val="2"/>
          </rPr>
          <t>Administrator:</t>
        </r>
        <r>
          <rPr>
            <sz val="9"/>
            <color indexed="81"/>
            <rFont val="Tahoma"/>
            <family val="2"/>
          </rPr>
          <t xml:space="preserve">
KE SA 2015, Table 183</t>
        </r>
      </text>
    </comment>
    <comment ref="CC38" authorId="1" shapeId="0">
      <text>
        <r>
          <rPr>
            <b/>
            <sz val="9"/>
            <color indexed="81"/>
            <rFont val="Tahoma"/>
            <family val="2"/>
          </rPr>
          <t>Administrator:</t>
        </r>
        <r>
          <rPr>
            <sz val="9"/>
            <color indexed="81"/>
            <rFont val="Tahoma"/>
            <family val="2"/>
          </rPr>
          <t xml:space="preserve">
Post devolution structure</t>
        </r>
      </text>
    </comment>
    <comment ref="C40" authorId="1" shapeId="0">
      <text>
        <r>
          <rPr>
            <b/>
            <sz val="9"/>
            <color indexed="81"/>
            <rFont val="Tahoma"/>
            <family val="2"/>
          </rPr>
          <t>Administrator:</t>
        </r>
        <r>
          <rPr>
            <sz val="9"/>
            <color indexed="81"/>
            <rFont val="Tahoma"/>
            <family val="2"/>
          </rPr>
          <t xml:space="preserve">
Including the East Africa High Commission / Common Services general administrative staff. </t>
        </r>
      </text>
    </comment>
    <comment ref="BO41" authorId="1" shapeId="0">
      <text>
        <r>
          <rPr>
            <b/>
            <sz val="9"/>
            <color indexed="81"/>
            <rFont val="Tahoma"/>
            <family val="2"/>
          </rPr>
          <t>Administrator:</t>
        </r>
        <r>
          <rPr>
            <sz val="9"/>
            <color indexed="81"/>
            <rFont val="Tahoma"/>
            <family val="2"/>
          </rPr>
          <t xml:space="preserve">
Possible data problem here, as earnings suddenly jump disproportionately.</t>
        </r>
      </text>
    </comment>
    <comment ref="AL42" authorId="1" shapeId="0">
      <text>
        <r>
          <rPr>
            <b/>
            <sz val="9"/>
            <color indexed="81"/>
            <rFont val="Tahoma"/>
            <family val="2"/>
          </rPr>
          <t>Administrator:</t>
        </r>
        <r>
          <rPr>
            <sz val="9"/>
            <color indexed="81"/>
            <rFont val="Tahoma"/>
            <family val="2"/>
          </rPr>
          <t xml:space="preserve">
In the 1970s the teaching force was reclassified from having been a government activity, to a parastatal activity. KE ES 1971 shows the wage bill prior to reclassification while later publications show the teachers wage bill within the parastatal sector. By subtracting the one from the other I estimate the wage bill size for the teaching force.</t>
        </r>
      </text>
    </comment>
    <comment ref="AM42" authorId="1" shapeId="0">
      <text>
        <r>
          <rPr>
            <b/>
            <sz val="9"/>
            <color indexed="81"/>
            <rFont val="Tahoma"/>
            <family val="2"/>
          </rPr>
          <t>Administrator:</t>
        </r>
        <r>
          <rPr>
            <sz val="9"/>
            <color indexed="81"/>
            <rFont val="Tahoma"/>
            <family val="2"/>
          </rPr>
          <t xml:space="preserve">
Imputed using the average earnings in the education industrial sector (public) and multiplying by number of employees, estimated above.</t>
        </r>
      </text>
    </comment>
    <comment ref="C43" authorId="1" shapeId="0">
      <text>
        <r>
          <rPr>
            <b/>
            <sz val="9"/>
            <color indexed="81"/>
            <rFont val="Tahoma"/>
            <family val="2"/>
          </rPr>
          <t>Administrator:</t>
        </r>
        <r>
          <rPr>
            <sz val="9"/>
            <color indexed="81"/>
            <rFont val="Tahoma"/>
            <family val="2"/>
          </rPr>
          <t xml:space="preserve">
Including all East African 'Community' parastatals, which are listed separately until 1977.</t>
        </r>
      </text>
    </comment>
    <comment ref="O46" authorId="1" shapeId="0">
      <text>
        <r>
          <rPr>
            <b/>
            <sz val="9"/>
            <color indexed="81"/>
            <rFont val="Tahoma"/>
            <family val="2"/>
          </rPr>
          <t>Administrator:</t>
        </r>
        <r>
          <rPr>
            <sz val="9"/>
            <color indexed="81"/>
            <rFont val="Tahoma"/>
            <family val="2"/>
          </rPr>
          <t xml:space="preserve">
1947-1954: KE SA 1955, Table 151, Cost of living index (excl. rent), Nairobi
(Rebased)</t>
        </r>
      </text>
    </comment>
    <comment ref="W46" authorId="1" shapeId="0">
      <text>
        <r>
          <rPr>
            <b/>
            <sz val="9"/>
            <color indexed="81"/>
            <rFont val="Tahoma"/>
            <family val="2"/>
          </rPr>
          <t>Administrator:</t>
        </r>
        <r>
          <rPr>
            <sz val="9"/>
            <color indexed="81"/>
            <rFont val="Tahoma"/>
            <family val="2"/>
          </rPr>
          <t xml:space="preserve">
1955-59: KE SA 1960, Table 134, Cost of living index (excl. rent), Nairobi
(Rebased)</t>
        </r>
      </text>
    </comment>
    <comment ref="O47" authorId="1" shapeId="0">
      <text>
        <r>
          <rPr>
            <b/>
            <sz val="9"/>
            <color indexed="81"/>
            <rFont val="Tahoma"/>
            <family val="2"/>
          </rPr>
          <t>Administrator:</t>
        </r>
        <r>
          <rPr>
            <sz val="9"/>
            <color indexed="81"/>
            <rFont val="Tahoma"/>
            <family val="2"/>
          </rPr>
          <t xml:space="preserve">
1947-1954: KE SA 1955, Table 151, Cost of living index (excl. rent), Nairobi
(Rebased)</t>
        </r>
      </text>
    </comment>
    <comment ref="W47" authorId="1" shapeId="0">
      <text>
        <r>
          <rPr>
            <b/>
            <sz val="9"/>
            <color indexed="81"/>
            <rFont val="Tahoma"/>
            <family val="2"/>
          </rPr>
          <t>Administrator:</t>
        </r>
        <r>
          <rPr>
            <sz val="9"/>
            <color indexed="81"/>
            <rFont val="Tahoma"/>
            <family val="2"/>
          </rPr>
          <t xml:space="preserve">
1955-59: KE SA 1960, Table 134, Cost of living index (excl. rent), Nairobi
(Rebased)</t>
        </r>
      </text>
    </comment>
    <comment ref="N57" authorId="1" shapeId="0">
      <text>
        <r>
          <rPr>
            <b/>
            <sz val="9"/>
            <color indexed="81"/>
            <rFont val="Tahoma"/>
            <family val="2"/>
          </rPr>
          <t>Administrator:</t>
        </r>
        <r>
          <rPr>
            <sz val="9"/>
            <color indexed="81"/>
            <rFont val="Tahoma"/>
            <family val="2"/>
          </rPr>
          <t xml:space="preserve">
KE SA 1955, Table 135 (current revenue and expenditure)</t>
        </r>
      </text>
    </comment>
    <comment ref="W57" authorId="1" shapeId="0">
      <text>
        <r>
          <rPr>
            <b/>
            <sz val="9"/>
            <color indexed="81"/>
            <rFont val="Tahoma"/>
            <family val="2"/>
          </rPr>
          <t>Administrator:</t>
        </r>
        <r>
          <rPr>
            <sz val="9"/>
            <color indexed="81"/>
            <rFont val="Tahoma"/>
            <family val="2"/>
          </rPr>
          <t xml:space="preserve">
KE SA 1955, Table 136. Excluding grants and loans but including reimbursements.</t>
        </r>
      </text>
    </comment>
    <comment ref="X57" authorId="1" shapeId="0">
      <text>
        <r>
          <rPr>
            <b/>
            <sz val="9"/>
            <color indexed="81"/>
            <rFont val="Tahoma"/>
            <family val="2"/>
          </rPr>
          <t>Administrator:</t>
        </r>
        <r>
          <rPr>
            <sz val="9"/>
            <color indexed="81"/>
            <rFont val="Tahoma"/>
            <family val="2"/>
          </rPr>
          <t xml:space="preserve">
KE SA 1959, Table 148, revenue excluding all loans and grants and withdrawals from funds.</t>
        </r>
      </text>
    </comment>
    <comment ref="AA57" authorId="1" shapeId="0">
      <text>
        <r>
          <rPr>
            <b/>
            <sz val="9"/>
            <color indexed="81"/>
            <rFont val="Tahoma"/>
            <family val="2"/>
          </rPr>
          <t>Administrator:</t>
        </r>
        <r>
          <rPr>
            <sz val="9"/>
            <color indexed="81"/>
            <rFont val="Tahoma"/>
            <family val="2"/>
          </rPr>
          <t xml:space="preserve">
KE SA 1960, Table 123 (a). Recurrent revenue excluding grants, loans and withdrawals from funds.</t>
        </r>
      </text>
    </comment>
    <comment ref="AD57" authorId="1" shapeId="0">
      <text>
        <r>
          <rPr>
            <b/>
            <sz val="9"/>
            <color indexed="81"/>
            <rFont val="Tahoma"/>
            <family val="2"/>
          </rPr>
          <t>Administrator:</t>
        </r>
        <r>
          <rPr>
            <sz val="9"/>
            <color indexed="81"/>
            <rFont val="Tahoma"/>
            <family val="2"/>
          </rPr>
          <t xml:space="preserve">
KE SA 1967, Table 163 (a). Recurrent revenue excluding grants, loans and withdrawals from funds.</t>
        </r>
      </text>
    </comment>
    <comment ref="AF57" authorId="1" shapeId="0">
      <text>
        <r>
          <rPr>
            <b/>
            <sz val="9"/>
            <color indexed="81"/>
            <rFont val="Tahoma"/>
            <family val="2"/>
          </rPr>
          <t>Administrator:</t>
        </r>
        <r>
          <rPr>
            <sz val="9"/>
            <color indexed="81"/>
            <rFont val="Tahoma"/>
            <family val="2"/>
          </rPr>
          <t xml:space="preserve">
Stats abstract 1969, Table 172 (a). </t>
        </r>
      </text>
    </comment>
    <comment ref="AI57" authorId="1" shapeId="0">
      <text>
        <r>
          <rPr>
            <b/>
            <sz val="9"/>
            <color indexed="81"/>
            <rFont val="Tahoma"/>
            <family val="2"/>
          </rPr>
          <t>Administrator:</t>
        </r>
        <r>
          <rPr>
            <sz val="9"/>
            <color indexed="81"/>
            <rFont val="Tahoma"/>
            <family val="2"/>
          </rPr>
          <t xml:space="preserve">
Stats abstract 1972, Table 200 (a).</t>
        </r>
      </text>
    </comment>
    <comment ref="AL57" authorId="1" shapeId="0">
      <text>
        <r>
          <rPr>
            <b/>
            <sz val="9"/>
            <color indexed="81"/>
            <rFont val="Tahoma"/>
            <family val="2"/>
          </rPr>
          <t>Administrator:</t>
        </r>
        <r>
          <rPr>
            <sz val="9"/>
            <color indexed="81"/>
            <rFont val="Tahoma"/>
            <family val="2"/>
          </rPr>
          <t xml:space="preserve">
KE IMF RED 1974. Table 11.</t>
        </r>
      </text>
    </comment>
    <comment ref="AP57" authorId="2" shapeId="0">
      <text>
        <r>
          <rPr>
            <sz val="9"/>
            <color indexed="81"/>
            <rFont val="Calibri"/>
            <family val="2"/>
          </rPr>
          <t>KE IMF RED 1978. Table 7.</t>
        </r>
      </text>
    </comment>
    <comment ref="AT57" authorId="1" shapeId="0">
      <text>
        <r>
          <rPr>
            <b/>
            <sz val="9"/>
            <color indexed="81"/>
            <rFont val="Tahoma"/>
            <family val="2"/>
          </rPr>
          <t xml:space="preserve">KE </t>
        </r>
        <r>
          <rPr>
            <sz val="9"/>
            <color indexed="81"/>
            <rFont val="Tahoma"/>
            <family val="2"/>
          </rPr>
          <t xml:space="preserve">IMF RED 1981. Table 10.
</t>
        </r>
      </text>
    </comment>
    <comment ref="AX57" authorId="1" shapeId="0">
      <text>
        <r>
          <rPr>
            <b/>
            <sz val="9"/>
            <color indexed="81"/>
            <rFont val="Tahoma"/>
            <family val="2"/>
          </rPr>
          <t>Administrator:</t>
        </r>
        <r>
          <rPr>
            <sz val="9"/>
            <color indexed="81"/>
            <rFont val="Tahoma"/>
            <family val="2"/>
          </rPr>
          <t xml:space="preserve">
KE IMF RED 1986. Table 14.</t>
        </r>
      </text>
    </comment>
    <comment ref="BC57" authorId="1" shapeId="0">
      <text>
        <r>
          <rPr>
            <b/>
            <sz val="9"/>
            <color indexed="81"/>
            <rFont val="Tahoma"/>
            <family val="2"/>
          </rPr>
          <t>Administrator:</t>
        </r>
        <r>
          <rPr>
            <sz val="9"/>
            <color indexed="81"/>
            <rFont val="Tahoma"/>
            <family val="2"/>
          </rPr>
          <t xml:space="preserve">
KE IMF SA 1992, Table 16.</t>
        </r>
      </text>
    </comment>
    <comment ref="BG57" authorId="1" shapeId="0">
      <text>
        <r>
          <rPr>
            <b/>
            <sz val="9"/>
            <color indexed="81"/>
            <rFont val="Tahoma"/>
            <family val="2"/>
          </rPr>
          <t>Administrator:</t>
        </r>
        <r>
          <rPr>
            <sz val="9"/>
            <color indexed="81"/>
            <rFont val="Tahoma"/>
            <family val="2"/>
          </rPr>
          <t xml:space="preserve">
KE IMF SA 1993, Table 17.
</t>
        </r>
      </text>
    </comment>
    <comment ref="BH57" authorId="1" shapeId="0">
      <text>
        <r>
          <rPr>
            <b/>
            <sz val="9"/>
            <color indexed="81"/>
            <rFont val="Tahoma"/>
            <family val="2"/>
          </rPr>
          <t>Administrator:</t>
        </r>
        <r>
          <rPr>
            <sz val="9"/>
            <color indexed="81"/>
            <rFont val="Tahoma"/>
            <family val="2"/>
          </rPr>
          <t xml:space="preserve">
KE IMF SA 1998, Table 19</t>
        </r>
      </text>
    </comment>
    <comment ref="BM57" authorId="1" shapeId="0">
      <text>
        <r>
          <rPr>
            <b/>
            <sz val="9"/>
            <color indexed="81"/>
            <rFont val="Tahoma"/>
            <family val="2"/>
          </rPr>
          <t>Administrator:</t>
        </r>
        <r>
          <rPr>
            <sz val="9"/>
            <color indexed="81"/>
            <rFont val="Tahoma"/>
            <family val="2"/>
          </rPr>
          <t xml:space="preserve">
KE IMF SA 2002, Table 47.</t>
        </r>
      </text>
    </comment>
    <comment ref="BN57" authorId="1" shapeId="0">
      <text>
        <r>
          <rPr>
            <b/>
            <sz val="9"/>
            <color indexed="81"/>
            <rFont val="Tahoma"/>
            <family val="2"/>
          </rPr>
          <t>Administrator:</t>
        </r>
        <r>
          <rPr>
            <sz val="9"/>
            <color indexed="81"/>
            <rFont val="Tahoma"/>
            <family val="2"/>
          </rPr>
          <t xml:space="preserve">
KE IMF SA 2004, Table 17</t>
        </r>
      </text>
    </comment>
    <comment ref="BU57" authorId="1" shapeId="0">
      <text>
        <r>
          <rPr>
            <b/>
            <sz val="9"/>
            <color indexed="81"/>
            <rFont val="Tahoma"/>
            <family val="2"/>
          </rPr>
          <t>Administrator:</t>
        </r>
        <r>
          <rPr>
            <sz val="9"/>
            <color indexed="81"/>
            <rFont val="Tahoma"/>
            <family val="2"/>
          </rPr>
          <t xml:space="preserve">
KE IMF ARTICLE IV 2006, Table 2</t>
        </r>
      </text>
    </comment>
    <comment ref="BW57" authorId="1" shapeId="0">
      <text>
        <r>
          <rPr>
            <b/>
            <sz val="9"/>
            <color indexed="81"/>
            <rFont val="Tahoma"/>
            <family val="2"/>
          </rPr>
          <t>Administrator:</t>
        </r>
        <r>
          <rPr>
            <sz val="9"/>
            <color indexed="81"/>
            <rFont val="Tahoma"/>
            <family val="2"/>
          </rPr>
          <t xml:space="preserve">
KE IMF ARTICLE IV 2009, Table 2a. 
(estimates for 2007/08 and 2008/09)</t>
        </r>
      </text>
    </comment>
    <comment ref="BZ57" authorId="1" shapeId="0">
      <text>
        <r>
          <rPr>
            <b/>
            <sz val="9"/>
            <color indexed="81"/>
            <rFont val="Tahoma"/>
            <family val="2"/>
          </rPr>
          <t>Administrator:</t>
        </r>
        <r>
          <rPr>
            <sz val="9"/>
            <color indexed="81"/>
            <rFont val="Tahoma"/>
            <family val="2"/>
          </rPr>
          <t xml:space="preserve">
KE IMF ARTICLE IV 2011, Table 2a. (estimate)</t>
        </r>
      </text>
    </comment>
    <comment ref="W58" authorId="1" shapeId="0">
      <text>
        <r>
          <rPr>
            <b/>
            <sz val="9"/>
            <color indexed="81"/>
            <rFont val="Tahoma"/>
            <family val="2"/>
          </rPr>
          <t>Administrator:</t>
        </r>
        <r>
          <rPr>
            <sz val="9"/>
            <color indexed="81"/>
            <rFont val="Tahoma"/>
            <family val="2"/>
          </rPr>
          <t xml:space="preserve">
Estimated at 20% of total rev (excl. grants)
</t>
        </r>
      </text>
    </comment>
    <comment ref="AE58" authorId="1" shapeId="0">
      <text>
        <r>
          <rPr>
            <b/>
            <sz val="9"/>
            <color indexed="81"/>
            <rFont val="Tahoma"/>
            <family val="2"/>
          </rPr>
          <t>Administrator:</t>
        </r>
        <r>
          <rPr>
            <sz val="9"/>
            <color indexed="81"/>
            <rFont val="Tahoma"/>
            <family val="2"/>
          </rPr>
          <t xml:space="preserve">
Calculated from current revenue of Municipal councils and Town, urban and county councils, excl. grants, loans and transfers from CG.</t>
        </r>
      </text>
    </comment>
    <comment ref="AG58" authorId="1" shapeId="0">
      <text>
        <r>
          <rPr>
            <b/>
            <sz val="9"/>
            <color indexed="81"/>
            <rFont val="Tahoma"/>
            <family val="2"/>
          </rPr>
          <t>Administrator:</t>
        </r>
        <r>
          <rPr>
            <sz val="9"/>
            <color indexed="81"/>
            <rFont val="Tahoma"/>
            <family val="2"/>
          </rPr>
          <t xml:space="preserve">
</t>
        </r>
        <r>
          <rPr>
            <sz val="9"/>
            <color indexed="81"/>
            <rFont val="Tahoma"/>
            <family val="2"/>
          </rPr>
          <t>KE SA 1971, Tables 212 and 214e.
Calculated from current revenue of Municipal councils and County councils, excl. grants, loans and transfers from CG.</t>
        </r>
      </text>
    </comment>
    <comment ref="AL58" authorId="1" shapeId="0">
      <text>
        <r>
          <rPr>
            <b/>
            <sz val="9"/>
            <color indexed="81"/>
            <rFont val="Tahoma"/>
            <family val="2"/>
          </rPr>
          <t>Administrator:</t>
        </r>
        <r>
          <rPr>
            <sz val="9"/>
            <color indexed="81"/>
            <rFont val="Tahoma"/>
            <family val="2"/>
          </rPr>
          <t xml:space="preserve">
KE SA 1976, Tables 228b and 230c.
Calculated from current revenue of Municipal councils and Town, urban and county councils, excl. grants, loans and transfers from CG.</t>
        </r>
      </text>
    </comment>
    <comment ref="AR58" authorId="1" shapeId="0">
      <text>
        <r>
          <rPr>
            <b/>
            <sz val="9"/>
            <color indexed="81"/>
            <rFont val="Tahoma"/>
            <family val="2"/>
          </rPr>
          <t>Administrator:</t>
        </r>
        <r>
          <rPr>
            <sz val="9"/>
            <color indexed="81"/>
            <rFont val="Tahoma"/>
            <family val="2"/>
          </rPr>
          <t xml:space="preserve">
KE SA 1981, Tables 234b and 236e.
Calculated from current revenue of Municipal councils and Area, urban and county councils, excl. grants, loans and current transfers.</t>
        </r>
      </text>
    </comment>
    <comment ref="AW58" authorId="1" shapeId="0">
      <text>
        <r>
          <rPr>
            <b/>
            <sz val="9"/>
            <color indexed="81"/>
            <rFont val="Tahoma"/>
            <family val="2"/>
          </rPr>
          <t>Administrator:</t>
        </r>
        <r>
          <rPr>
            <sz val="9"/>
            <color indexed="81"/>
            <rFont val="Tahoma"/>
            <family val="2"/>
          </rPr>
          <t xml:space="preserve">
KE SA 1986, Tables 207b and 210c.
Calculated from current revenue of Municipal councils and town urban and county councils, excl. grants, loans and current transfers.</t>
        </r>
      </text>
    </comment>
    <comment ref="BB58" authorId="1" shapeId="0">
      <text>
        <r>
          <rPr>
            <b/>
            <sz val="9"/>
            <color indexed="81"/>
            <rFont val="Tahoma"/>
            <family val="2"/>
          </rPr>
          <t>Administrator:</t>
        </r>
        <r>
          <rPr>
            <sz val="9"/>
            <color indexed="81"/>
            <rFont val="Tahoma"/>
            <family val="2"/>
          </rPr>
          <t xml:space="preserve">
KE SA 1991, Tables 207b and 209c.
Calculated from current revenue of Municipal councils and town urban and county councils, excl. grants, loans and current transfers.</t>
        </r>
      </text>
    </comment>
    <comment ref="BH58" authorId="1" shapeId="0">
      <text>
        <r>
          <rPr>
            <b/>
            <sz val="9"/>
            <color indexed="81"/>
            <rFont val="Tahoma"/>
            <family val="2"/>
          </rPr>
          <t>Administrator:</t>
        </r>
        <r>
          <rPr>
            <sz val="9"/>
            <color indexed="81"/>
            <rFont val="Tahoma"/>
            <family val="2"/>
          </rPr>
          <t xml:space="preserve">
KE IMF SA 1998, Table 22.</t>
        </r>
      </text>
    </comment>
    <comment ref="BN58" authorId="1" shapeId="0">
      <text>
        <r>
          <rPr>
            <b/>
            <sz val="9"/>
            <color indexed="81"/>
            <rFont val="Tahoma"/>
            <family val="2"/>
          </rPr>
          <t>Administrator:</t>
        </r>
        <r>
          <rPr>
            <sz val="9"/>
            <color indexed="81"/>
            <rFont val="Tahoma"/>
            <family val="2"/>
          </rPr>
          <t xml:space="preserve">
KE IMF SA 2009, Table 22.</t>
        </r>
      </text>
    </comment>
    <comment ref="BU58" authorId="1" shapeId="0">
      <text>
        <r>
          <rPr>
            <b/>
            <sz val="9"/>
            <color indexed="81"/>
            <rFont val="Tahoma"/>
            <family val="2"/>
          </rPr>
          <t>Administrator:</t>
        </r>
        <r>
          <rPr>
            <sz val="9"/>
            <color indexed="81"/>
            <rFont val="Tahoma"/>
            <family val="2"/>
          </rPr>
          <t xml:space="preserve">
KE ES 2008, Table 6.19 and 6.20</t>
        </r>
      </text>
    </comment>
    <comment ref="BV58" authorId="1" shapeId="0">
      <text>
        <r>
          <rPr>
            <b/>
            <sz val="9"/>
            <color indexed="81"/>
            <rFont val="Tahoma"/>
            <family val="2"/>
          </rPr>
          <t>Administrator:</t>
        </r>
        <r>
          <rPr>
            <sz val="9"/>
            <color indexed="81"/>
            <rFont val="Tahoma"/>
            <family val="2"/>
          </rPr>
          <t xml:space="preserve">
KE ES 2010, Table 6.19 and 6.20</t>
        </r>
      </text>
    </comment>
    <comment ref="N60" authorId="1" shapeId="0">
      <text>
        <r>
          <rPr>
            <b/>
            <sz val="9"/>
            <color indexed="81"/>
            <rFont val="Tahoma"/>
            <family val="2"/>
          </rPr>
          <t>Administrator:</t>
        </r>
        <r>
          <rPr>
            <sz val="9"/>
            <color indexed="81"/>
            <rFont val="Tahoma"/>
            <family val="2"/>
          </rPr>
          <t xml:space="preserve">
KE SA 1955, Table 135 and Table 137. Capital expenditure estimated by assuming even flow of cumulative dev revenue for years 1946-50. </t>
        </r>
      </text>
    </comment>
    <comment ref="S60" authorId="1" shapeId="0">
      <text>
        <r>
          <rPr>
            <b/>
            <sz val="9"/>
            <color indexed="81"/>
            <rFont val="Tahoma"/>
            <family val="2"/>
          </rPr>
          <t>Administrator:</t>
        </r>
        <r>
          <rPr>
            <sz val="9"/>
            <color indexed="81"/>
            <rFont val="Tahoma"/>
            <family val="2"/>
          </rPr>
          <t xml:space="preserve">
KE SA 1955, Table 137 and 139.</t>
        </r>
      </text>
    </comment>
    <comment ref="X60" authorId="1" shapeId="0">
      <text>
        <r>
          <rPr>
            <b/>
            <sz val="9"/>
            <color indexed="81"/>
            <rFont val="Tahoma"/>
            <family val="2"/>
          </rPr>
          <t>Administrator:</t>
        </r>
        <r>
          <rPr>
            <sz val="9"/>
            <color indexed="81"/>
            <rFont val="Tahoma"/>
            <family val="2"/>
          </rPr>
          <t xml:space="preserve">
KE SA 1959, Table 147a (appropriations account)</t>
        </r>
      </text>
    </comment>
    <comment ref="Y60" authorId="1" shapeId="0">
      <text>
        <r>
          <rPr>
            <b/>
            <sz val="9"/>
            <color indexed="81"/>
            <rFont val="Tahoma"/>
            <family val="2"/>
          </rPr>
          <t>Administrator:</t>
        </r>
        <r>
          <rPr>
            <sz val="9"/>
            <color indexed="81"/>
            <rFont val="Tahoma"/>
            <family val="2"/>
          </rPr>
          <t xml:space="preserve">
KE SA 1959, Table 122b.</t>
        </r>
      </text>
    </comment>
    <comment ref="AB60" authorId="1" shapeId="0">
      <text>
        <r>
          <rPr>
            <b/>
            <sz val="9"/>
            <color indexed="81"/>
            <rFont val="Tahoma"/>
            <family val="2"/>
          </rPr>
          <t>Administrator:</t>
        </r>
        <r>
          <rPr>
            <sz val="9"/>
            <color indexed="81"/>
            <rFont val="Tahoma"/>
            <family val="2"/>
          </rPr>
          <t xml:space="preserve">
KE SA 1967, Table 161b.</t>
        </r>
      </text>
    </comment>
    <comment ref="AD60" authorId="1" shapeId="0">
      <text>
        <r>
          <rPr>
            <b/>
            <sz val="9"/>
            <color indexed="81"/>
            <rFont val="Tahoma"/>
            <family val="2"/>
          </rPr>
          <t>Administrator:</t>
        </r>
        <r>
          <rPr>
            <sz val="9"/>
            <color indexed="81"/>
            <rFont val="Tahoma"/>
            <family val="2"/>
          </rPr>
          <t xml:space="preserve">
KE SA 1967, Table 163b and 164b. (Debt repayments/redemption excl. from capital exp.)</t>
        </r>
      </text>
    </comment>
    <comment ref="AI60" authorId="1" shapeId="0">
      <text>
        <r>
          <rPr>
            <b/>
            <sz val="9"/>
            <color indexed="81"/>
            <rFont val="Tahoma"/>
            <family val="2"/>
          </rPr>
          <t>Administrator:</t>
        </r>
        <r>
          <rPr>
            <sz val="9"/>
            <color indexed="81"/>
            <rFont val="Tahoma"/>
            <family val="2"/>
          </rPr>
          <t xml:space="preserve">
KE SA 1972, Table 200b and 201b. (Debt repayments/redemption excl. from capital exp.)</t>
        </r>
      </text>
    </comment>
    <comment ref="AN60" authorId="1" shapeId="0">
      <text>
        <r>
          <rPr>
            <b/>
            <sz val="9"/>
            <color indexed="81"/>
            <rFont val="Tahoma"/>
            <family val="2"/>
          </rPr>
          <t>Administrator:</t>
        </r>
        <r>
          <rPr>
            <sz val="9"/>
            <color indexed="81"/>
            <rFont val="Tahoma"/>
            <family val="2"/>
          </rPr>
          <t xml:space="preserve">
KE SA 1977, Table 239b and 240b. (Debt repayments/redemption excl. from capital exp.)</t>
        </r>
      </text>
    </comment>
    <comment ref="AS60" authorId="1" shapeId="0">
      <text>
        <r>
          <rPr>
            <b/>
            <sz val="9"/>
            <color indexed="81"/>
            <rFont val="Tahoma"/>
            <family val="2"/>
          </rPr>
          <t>Administrator:</t>
        </r>
        <r>
          <rPr>
            <sz val="9"/>
            <color indexed="81"/>
            <rFont val="Tahoma"/>
            <family val="2"/>
          </rPr>
          <t xml:space="preserve">
KE SA 1980, Table 222b and 223b (Debt repayments/redemption excl. from capital exp.)</t>
        </r>
      </text>
    </comment>
    <comment ref="AX60" authorId="1" shapeId="0">
      <text>
        <r>
          <rPr>
            <b/>
            <sz val="9"/>
            <color indexed="81"/>
            <rFont val="Tahoma"/>
            <family val="2"/>
          </rPr>
          <t>Administrator:</t>
        </r>
        <r>
          <rPr>
            <sz val="9"/>
            <color indexed="81"/>
            <rFont val="Tahoma"/>
            <family val="2"/>
          </rPr>
          <t xml:space="preserve">
KE SA 1985, Table 199 (Debt repayments/redemption excl. from capital exp.)</t>
        </r>
      </text>
    </comment>
    <comment ref="BC60" authorId="1" shapeId="0">
      <text>
        <r>
          <rPr>
            <b/>
            <sz val="9"/>
            <color indexed="81"/>
            <rFont val="Tahoma"/>
            <family val="2"/>
          </rPr>
          <t>Administrator:</t>
        </r>
        <r>
          <rPr>
            <sz val="9"/>
            <color indexed="81"/>
            <rFont val="Tahoma"/>
            <family val="2"/>
          </rPr>
          <t xml:space="preserve">
KE SA 1991, Table 196 (Debt repayments/redemption excl. from capital exp.)</t>
        </r>
      </text>
    </comment>
    <comment ref="BF60" authorId="1" shapeId="0">
      <text>
        <r>
          <rPr>
            <b/>
            <sz val="9"/>
            <color indexed="81"/>
            <rFont val="Tahoma"/>
            <family val="2"/>
          </rPr>
          <t>Administrator:</t>
        </r>
        <r>
          <rPr>
            <sz val="9"/>
            <color indexed="81"/>
            <rFont val="Tahoma"/>
            <family val="2"/>
          </rPr>
          <t xml:space="preserve">
KE IMF RED 1995, Table 18</t>
        </r>
      </text>
    </comment>
    <comment ref="BH60" authorId="1" shapeId="0">
      <text>
        <r>
          <rPr>
            <b/>
            <sz val="9"/>
            <color indexed="81"/>
            <rFont val="Tahoma"/>
            <family val="2"/>
          </rPr>
          <t>Administrator:</t>
        </r>
        <r>
          <rPr>
            <sz val="9"/>
            <color indexed="81"/>
            <rFont val="Tahoma"/>
            <family val="2"/>
          </rPr>
          <t xml:space="preserve">
KE IMF SA 1998, Table 20</t>
        </r>
      </text>
    </comment>
    <comment ref="BM60" authorId="1" shapeId="0">
      <text>
        <r>
          <rPr>
            <b/>
            <sz val="9"/>
            <color indexed="81"/>
            <rFont val="Tahoma"/>
            <family val="2"/>
          </rPr>
          <t>Administrator:</t>
        </r>
        <r>
          <rPr>
            <sz val="9"/>
            <color indexed="81"/>
            <rFont val="Tahoma"/>
            <family val="2"/>
          </rPr>
          <t xml:space="preserve">
KE IMF SA 2002, Table 48</t>
        </r>
      </text>
    </comment>
    <comment ref="BP60" authorId="1" shapeId="0">
      <text>
        <r>
          <rPr>
            <b/>
            <sz val="9"/>
            <color indexed="81"/>
            <rFont val="Tahoma"/>
            <family val="2"/>
          </rPr>
          <t>Administrator:</t>
        </r>
        <r>
          <rPr>
            <sz val="9"/>
            <color indexed="81"/>
            <rFont val="Tahoma"/>
            <family val="2"/>
          </rPr>
          <t xml:space="preserve">
KE IMF SA 2009, Table 19</t>
        </r>
      </text>
    </comment>
    <comment ref="BU60" authorId="1" shapeId="0">
      <text>
        <r>
          <rPr>
            <b/>
            <sz val="9"/>
            <color indexed="81"/>
            <rFont val="Tahoma"/>
            <family val="2"/>
          </rPr>
          <t>Administrator:</t>
        </r>
        <r>
          <rPr>
            <sz val="9"/>
            <color indexed="81"/>
            <rFont val="Tahoma"/>
            <family val="2"/>
          </rPr>
          <t xml:space="preserve">
KE IMF ARTICLE IV 2006, Table 2</t>
        </r>
      </text>
    </comment>
    <comment ref="BW60" authorId="1" shapeId="0">
      <text>
        <r>
          <rPr>
            <b/>
            <sz val="9"/>
            <color indexed="81"/>
            <rFont val="Tahoma"/>
            <family val="2"/>
          </rPr>
          <t>Administrator:</t>
        </r>
        <r>
          <rPr>
            <sz val="9"/>
            <color indexed="81"/>
            <rFont val="Tahoma"/>
            <family val="2"/>
          </rPr>
          <t xml:space="preserve">
KE IMF ARTICLE IV 2009, Table 2a. 
</t>
        </r>
      </text>
    </comment>
    <comment ref="BZ60" authorId="1" shapeId="0">
      <text>
        <r>
          <rPr>
            <b/>
            <sz val="9"/>
            <color indexed="81"/>
            <rFont val="Tahoma"/>
            <family val="2"/>
          </rPr>
          <t>Administrator:</t>
        </r>
        <r>
          <rPr>
            <sz val="9"/>
            <color indexed="81"/>
            <rFont val="Tahoma"/>
            <family val="2"/>
          </rPr>
          <t xml:space="preserve">
KE IMF ARTICLE IV 2011, Table 2a. </t>
        </r>
      </text>
    </comment>
    <comment ref="N61" authorId="1" shapeId="0">
      <text>
        <r>
          <rPr>
            <b/>
            <sz val="9"/>
            <color indexed="81"/>
            <rFont val="Tahoma"/>
            <family val="2"/>
          </rPr>
          <t>Administrator:</t>
        </r>
        <r>
          <rPr>
            <sz val="9"/>
            <color indexed="81"/>
            <rFont val="Tahoma"/>
            <family val="2"/>
          </rPr>
          <t xml:space="preserve">
KE SA 1955, Table 135 and Table 137. Capital expenditure estimated by assuming even flow of cumulative dev revenue for years 1946-50. </t>
        </r>
      </text>
    </comment>
    <comment ref="S61" authorId="1" shapeId="0">
      <text>
        <r>
          <rPr>
            <b/>
            <sz val="9"/>
            <color indexed="81"/>
            <rFont val="Tahoma"/>
            <family val="2"/>
          </rPr>
          <t>Administrator:</t>
        </r>
        <r>
          <rPr>
            <sz val="9"/>
            <color indexed="81"/>
            <rFont val="Tahoma"/>
            <family val="2"/>
          </rPr>
          <t xml:space="preserve">
KE SA 1955, Table 137 and 139.</t>
        </r>
      </text>
    </comment>
    <comment ref="N62" authorId="1" shapeId="0">
      <text>
        <r>
          <rPr>
            <b/>
            <sz val="9"/>
            <color indexed="81"/>
            <rFont val="Tahoma"/>
            <family val="2"/>
          </rPr>
          <t>Administrator:</t>
        </r>
        <r>
          <rPr>
            <sz val="9"/>
            <color indexed="81"/>
            <rFont val="Tahoma"/>
            <family val="2"/>
          </rPr>
          <t xml:space="preserve">
13.5 spent between 1946 and 50, assume equal spend per year</t>
        </r>
      </text>
    </comment>
    <comment ref="C64" authorId="1" shapeId="0">
      <text>
        <r>
          <rPr>
            <b/>
            <sz val="9"/>
            <color indexed="81"/>
            <rFont val="Tahoma"/>
            <family val="2"/>
          </rPr>
          <t>Administrator:</t>
        </r>
        <r>
          <rPr>
            <sz val="9"/>
            <color indexed="81"/>
            <rFont val="Tahoma"/>
            <family val="2"/>
          </rPr>
          <t xml:space="preserve">
Excluding debt redemption and transfers to funds</t>
        </r>
      </text>
    </comment>
    <comment ref="AD64" authorId="1" shapeId="0">
      <text>
        <r>
          <rPr>
            <b/>
            <sz val="9"/>
            <color indexed="81"/>
            <rFont val="Tahoma"/>
            <family val="2"/>
          </rPr>
          <t>Administrator:</t>
        </r>
        <r>
          <rPr>
            <sz val="9"/>
            <color indexed="81"/>
            <rFont val="Tahoma"/>
            <family val="2"/>
          </rPr>
          <t xml:space="preserve">
KE SA 1967, Table 163b and 164b. (Debt repayments/redemption excl. from capital exp.)</t>
        </r>
      </text>
    </comment>
    <comment ref="AI64" authorId="1" shapeId="0">
      <text>
        <r>
          <rPr>
            <b/>
            <sz val="9"/>
            <color indexed="81"/>
            <rFont val="Tahoma"/>
            <family val="2"/>
          </rPr>
          <t>Administrator:</t>
        </r>
        <r>
          <rPr>
            <sz val="9"/>
            <color indexed="81"/>
            <rFont val="Tahoma"/>
            <family val="2"/>
          </rPr>
          <t xml:space="preserve">
KE SA 1972, Table 200b and 201b. (Debt repayments/redemption excl. from capital exp.)</t>
        </r>
      </text>
    </comment>
    <comment ref="AN64" authorId="1" shapeId="0">
      <text>
        <r>
          <rPr>
            <b/>
            <sz val="9"/>
            <color indexed="81"/>
            <rFont val="Tahoma"/>
            <family val="2"/>
          </rPr>
          <t>Administrator:</t>
        </r>
        <r>
          <rPr>
            <sz val="9"/>
            <color indexed="81"/>
            <rFont val="Tahoma"/>
            <family val="2"/>
          </rPr>
          <t xml:space="preserve">
KE SA 1977, Table 239b and 240b. (Debt repayments/redemption excl. from capital exp.)</t>
        </r>
      </text>
    </comment>
    <comment ref="AS64" authorId="1" shapeId="0">
      <text>
        <r>
          <rPr>
            <b/>
            <sz val="9"/>
            <color indexed="81"/>
            <rFont val="Tahoma"/>
            <family val="2"/>
          </rPr>
          <t>Administrator:</t>
        </r>
        <r>
          <rPr>
            <sz val="9"/>
            <color indexed="81"/>
            <rFont val="Tahoma"/>
            <family val="2"/>
          </rPr>
          <t xml:space="preserve">
KE SA 1980, Table 222b and 223b (Debt repayments/redemption excl. from capital exp.)</t>
        </r>
      </text>
    </comment>
    <comment ref="AX64" authorId="1" shapeId="0">
      <text>
        <r>
          <rPr>
            <b/>
            <sz val="9"/>
            <color indexed="81"/>
            <rFont val="Tahoma"/>
            <family val="2"/>
          </rPr>
          <t>Administrator:</t>
        </r>
        <r>
          <rPr>
            <sz val="9"/>
            <color indexed="81"/>
            <rFont val="Tahoma"/>
            <family val="2"/>
          </rPr>
          <t xml:space="preserve">
KE SA 1985, Table 199 (Debt repayments/redemption excl. from capital exp.)</t>
        </r>
      </text>
    </comment>
    <comment ref="BC64" authorId="1" shapeId="0">
      <text>
        <r>
          <rPr>
            <b/>
            <sz val="9"/>
            <color indexed="81"/>
            <rFont val="Tahoma"/>
            <family val="2"/>
          </rPr>
          <t>Administrator:</t>
        </r>
        <r>
          <rPr>
            <sz val="9"/>
            <color indexed="81"/>
            <rFont val="Tahoma"/>
            <family val="2"/>
          </rPr>
          <t xml:space="preserve">
KE SA 1991, Table 196 (Debt repayments/redemption excl. from capital exp.)</t>
        </r>
      </text>
    </comment>
    <comment ref="BF64" authorId="1" shapeId="0">
      <text>
        <r>
          <rPr>
            <b/>
            <sz val="9"/>
            <color indexed="81"/>
            <rFont val="Tahoma"/>
            <family val="2"/>
          </rPr>
          <t>Administrator:</t>
        </r>
        <r>
          <rPr>
            <sz val="9"/>
            <color indexed="81"/>
            <rFont val="Tahoma"/>
            <family val="2"/>
          </rPr>
          <t xml:space="preserve">
KE IMF RED 1995, Table 18</t>
        </r>
      </text>
    </comment>
    <comment ref="BH64" authorId="1" shapeId="0">
      <text>
        <r>
          <rPr>
            <b/>
            <sz val="9"/>
            <color indexed="81"/>
            <rFont val="Tahoma"/>
            <family val="2"/>
          </rPr>
          <t>Administrator:</t>
        </r>
        <r>
          <rPr>
            <sz val="9"/>
            <color indexed="81"/>
            <rFont val="Tahoma"/>
            <family val="2"/>
          </rPr>
          <t xml:space="preserve">
KE IMF SA 1998, Table 20</t>
        </r>
      </text>
    </comment>
    <comment ref="BM64" authorId="1" shapeId="0">
      <text>
        <r>
          <rPr>
            <b/>
            <sz val="9"/>
            <color indexed="81"/>
            <rFont val="Tahoma"/>
            <family val="2"/>
          </rPr>
          <t>Administrator:</t>
        </r>
        <r>
          <rPr>
            <sz val="9"/>
            <color indexed="81"/>
            <rFont val="Tahoma"/>
            <family val="2"/>
          </rPr>
          <t xml:space="preserve">
KE IMF SA 2002, Table 48</t>
        </r>
      </text>
    </comment>
    <comment ref="BP64" authorId="1" shapeId="0">
      <text>
        <r>
          <rPr>
            <b/>
            <sz val="9"/>
            <color indexed="81"/>
            <rFont val="Tahoma"/>
            <family val="2"/>
          </rPr>
          <t>Administrator:</t>
        </r>
        <r>
          <rPr>
            <sz val="9"/>
            <color indexed="81"/>
            <rFont val="Tahoma"/>
            <family val="2"/>
          </rPr>
          <t xml:space="preserve">
KE IMF SA 2009, Table 19</t>
        </r>
      </text>
    </comment>
    <comment ref="BU64" authorId="1" shapeId="0">
      <text>
        <r>
          <rPr>
            <b/>
            <sz val="9"/>
            <color indexed="81"/>
            <rFont val="Tahoma"/>
            <family val="2"/>
          </rPr>
          <t>Administrator:</t>
        </r>
        <r>
          <rPr>
            <sz val="9"/>
            <color indexed="81"/>
            <rFont val="Tahoma"/>
            <family val="2"/>
          </rPr>
          <t xml:space="preserve">
KE IMF ARTICLE IV 2006, Table 2</t>
        </r>
      </text>
    </comment>
    <comment ref="BW64" authorId="1" shapeId="0">
      <text>
        <r>
          <rPr>
            <b/>
            <sz val="9"/>
            <color indexed="81"/>
            <rFont val="Tahoma"/>
            <family val="2"/>
          </rPr>
          <t>Administrator:</t>
        </r>
        <r>
          <rPr>
            <sz val="9"/>
            <color indexed="81"/>
            <rFont val="Tahoma"/>
            <family val="2"/>
          </rPr>
          <t xml:space="preserve">
KE IMF ARTICLE IV 2009, Table 2a. 
</t>
        </r>
      </text>
    </comment>
    <comment ref="BZ64" authorId="1" shapeId="0">
      <text>
        <r>
          <rPr>
            <b/>
            <sz val="9"/>
            <color indexed="81"/>
            <rFont val="Tahoma"/>
            <family val="2"/>
          </rPr>
          <t>Administrator:</t>
        </r>
        <r>
          <rPr>
            <sz val="9"/>
            <color indexed="81"/>
            <rFont val="Tahoma"/>
            <family val="2"/>
          </rPr>
          <t xml:space="preserve">
KE IMF ARTICLE IV 2011, Table 2a. </t>
        </r>
      </text>
    </comment>
    <comment ref="BH65" authorId="1" shapeId="0">
      <text>
        <r>
          <rPr>
            <b/>
            <sz val="9"/>
            <color indexed="81"/>
            <rFont val="Tahoma"/>
            <family val="2"/>
          </rPr>
          <t>Administrator:</t>
        </r>
        <r>
          <rPr>
            <sz val="9"/>
            <color indexed="81"/>
            <rFont val="Tahoma"/>
            <family val="2"/>
          </rPr>
          <t xml:space="preserve">
From IMF 1998 stats abstract - some sort of jump in wages here, looks like teacher wage bill is added to CG total from 1992 and on.</t>
        </r>
      </text>
    </comment>
    <comment ref="BT65" authorId="1" shapeId="0">
      <text>
        <r>
          <rPr>
            <b/>
            <sz val="9"/>
            <color indexed="81"/>
            <rFont val="Tahoma"/>
            <family val="2"/>
          </rPr>
          <t>Administrator:</t>
        </r>
        <r>
          <rPr>
            <sz val="9"/>
            <color indexed="81"/>
            <rFont val="Tahoma"/>
            <family val="2"/>
          </rPr>
          <t xml:space="preserve">
At this stage at least, it seems the wage bill includes the teachers service commission, but not LG. Possibly some parastatal employees as well…
Totals not completely off, but not a perfect match either...</t>
        </r>
      </text>
    </comment>
    <comment ref="BP66" authorId="1" shapeId="0">
      <text>
        <r>
          <rPr>
            <b/>
            <sz val="9"/>
            <color indexed="81"/>
            <rFont val="Tahoma"/>
            <family val="2"/>
          </rPr>
          <t>Administrator:</t>
        </r>
        <r>
          <rPr>
            <sz val="9"/>
            <color indexed="81"/>
            <rFont val="Tahoma"/>
            <family val="2"/>
          </rPr>
          <t xml:space="preserve">
Subsidies and transfers!</t>
        </r>
      </text>
    </comment>
    <comment ref="BH68" authorId="1" shapeId="0">
      <text>
        <r>
          <rPr>
            <b/>
            <sz val="9"/>
            <color indexed="81"/>
            <rFont val="Tahoma"/>
            <family val="2"/>
          </rPr>
          <t>Administrator:</t>
        </r>
        <r>
          <rPr>
            <sz val="9"/>
            <color indexed="81"/>
            <rFont val="Tahoma"/>
            <family val="2"/>
          </rPr>
          <t xml:space="preserve">
Only interest, subsidies lumped w transfers</t>
        </r>
      </text>
    </comment>
    <comment ref="C69" authorId="0" shapeId="0">
      <text>
        <r>
          <rPr>
            <b/>
            <sz val="9"/>
            <color indexed="81"/>
            <rFont val="Tahoma"/>
            <family val="2"/>
          </rPr>
          <t>Rebecca:</t>
        </r>
        <r>
          <rPr>
            <sz val="9"/>
            <color indexed="81"/>
            <rFont val="Tahoma"/>
            <family val="2"/>
          </rPr>
          <t xml:space="preserve">
Includes loans to enterprises and loan repayments to other sectors - this is a considerable share of the spending up until 1983</t>
        </r>
      </text>
    </comment>
    <comment ref="BH70" authorId="1" shapeId="0">
      <text>
        <r>
          <rPr>
            <b/>
            <sz val="9"/>
            <color indexed="81"/>
            <rFont val="Tahoma"/>
            <family val="2"/>
          </rPr>
          <t>Administrator:</t>
        </r>
        <r>
          <rPr>
            <sz val="9"/>
            <color indexed="81"/>
            <rFont val="Tahoma"/>
            <family val="2"/>
          </rPr>
          <t xml:space="preserve">
Capital transfers</t>
        </r>
      </text>
    </comment>
    <comment ref="BP70" authorId="1" shapeId="0">
      <text>
        <r>
          <rPr>
            <b/>
            <sz val="9"/>
            <color indexed="81"/>
            <rFont val="Tahoma"/>
            <family val="2"/>
          </rPr>
          <t>Administrator:</t>
        </r>
        <r>
          <rPr>
            <sz val="9"/>
            <color indexed="81"/>
            <rFont val="Tahoma"/>
            <family val="2"/>
          </rPr>
          <t xml:space="preserve">
Equity and capital transfers</t>
        </r>
      </text>
    </comment>
    <comment ref="C72" authorId="1" shapeId="0">
      <text>
        <r>
          <rPr>
            <b/>
            <sz val="9"/>
            <color indexed="81"/>
            <rFont val="Tahoma"/>
            <family val="2"/>
          </rPr>
          <t>Administrator:</t>
        </r>
        <r>
          <rPr>
            <sz val="9"/>
            <color indexed="81"/>
            <rFont val="Tahoma"/>
            <family val="2"/>
          </rPr>
          <t xml:space="preserve">
Development usually only around 10% of total, bit more recently.</t>
        </r>
      </text>
    </comment>
    <comment ref="S72" authorId="1" shapeId="0">
      <text>
        <r>
          <rPr>
            <b/>
            <sz val="9"/>
            <color indexed="81"/>
            <rFont val="Tahoma"/>
            <family val="2"/>
          </rPr>
          <t>Administrator:</t>
        </r>
        <r>
          <rPr>
            <sz val="9"/>
            <color indexed="81"/>
            <rFont val="Tahoma"/>
            <family val="2"/>
          </rPr>
          <t xml:space="preserve">
KE SA 1955, Table 137</t>
        </r>
      </text>
    </comment>
    <comment ref="Y72" authorId="1" shapeId="0">
      <text>
        <r>
          <rPr>
            <b/>
            <sz val="9"/>
            <color indexed="81"/>
            <rFont val="Tahoma"/>
            <family val="2"/>
          </rPr>
          <t>Administrator:</t>
        </r>
        <r>
          <rPr>
            <sz val="9"/>
            <color indexed="81"/>
            <rFont val="Tahoma"/>
            <family val="2"/>
          </rPr>
          <t xml:space="preserve">
KE SA 1960, Table 124</t>
        </r>
      </text>
    </comment>
    <comment ref="AC72" authorId="1" shapeId="0">
      <text>
        <r>
          <rPr>
            <b/>
            <sz val="9"/>
            <color indexed="81"/>
            <rFont val="Tahoma"/>
            <family val="2"/>
          </rPr>
          <t>Administrator:</t>
        </r>
        <r>
          <rPr>
            <sz val="9"/>
            <color indexed="81"/>
            <rFont val="Tahoma"/>
            <family val="2"/>
          </rPr>
          <t xml:space="preserve">
KE IMF ARTICLE IV 1965, Table 25.</t>
        </r>
      </text>
    </comment>
    <comment ref="AI72" authorId="1" shapeId="0">
      <text>
        <r>
          <rPr>
            <b/>
            <sz val="9"/>
            <color indexed="81"/>
            <rFont val="Tahoma"/>
            <family val="2"/>
          </rPr>
          <t>Administrator:</t>
        </r>
        <r>
          <rPr>
            <sz val="9"/>
            <color indexed="81"/>
            <rFont val="Tahoma"/>
            <family val="2"/>
          </rPr>
          <t xml:space="preserve">
KE SA 1972, Table 205</t>
        </r>
      </text>
    </comment>
    <comment ref="AN72" authorId="1" shapeId="0">
      <text>
        <r>
          <rPr>
            <b/>
            <sz val="9"/>
            <color indexed="81"/>
            <rFont val="Tahoma"/>
            <family val="2"/>
          </rPr>
          <t>Administrator:</t>
        </r>
        <r>
          <rPr>
            <sz val="9"/>
            <color indexed="81"/>
            <rFont val="Tahoma"/>
            <family val="2"/>
          </rPr>
          <t xml:space="preserve">
KE SA 1976, Table 220</t>
        </r>
      </text>
    </comment>
    <comment ref="AS72" authorId="1" shapeId="0">
      <text>
        <r>
          <rPr>
            <b/>
            <sz val="9"/>
            <color indexed="81"/>
            <rFont val="Tahoma"/>
            <family val="2"/>
          </rPr>
          <t>Administrator:</t>
        </r>
        <r>
          <rPr>
            <sz val="9"/>
            <color indexed="81"/>
            <rFont val="Tahoma"/>
            <family val="2"/>
          </rPr>
          <t xml:space="preserve">
KE SA 1980, Table 226</t>
        </r>
      </text>
    </comment>
    <comment ref="AU72" authorId="1" shapeId="0">
      <text>
        <r>
          <rPr>
            <b/>
            <sz val="9"/>
            <color indexed="81"/>
            <rFont val="Tahoma"/>
            <family val="2"/>
          </rPr>
          <t>Administrator:</t>
        </r>
        <r>
          <rPr>
            <sz val="9"/>
            <color indexed="81"/>
            <rFont val="Tahoma"/>
            <family val="2"/>
          </rPr>
          <t xml:space="preserve">
KE SA 1982, Table 216</t>
        </r>
      </text>
    </comment>
    <comment ref="AX72" authorId="1" shapeId="0">
      <text>
        <r>
          <rPr>
            <b/>
            <sz val="9"/>
            <color indexed="81"/>
            <rFont val="Tahoma"/>
            <family val="2"/>
          </rPr>
          <t>Administrator:</t>
        </r>
        <r>
          <rPr>
            <sz val="9"/>
            <color indexed="81"/>
            <rFont val="Tahoma"/>
            <family val="2"/>
          </rPr>
          <t xml:space="preserve">
KE SA 1985, Table 199</t>
        </r>
      </text>
    </comment>
    <comment ref="BC72" authorId="1" shapeId="0">
      <text>
        <r>
          <rPr>
            <b/>
            <sz val="9"/>
            <color indexed="81"/>
            <rFont val="Tahoma"/>
            <family val="2"/>
          </rPr>
          <t>Administrator:</t>
        </r>
        <r>
          <rPr>
            <sz val="9"/>
            <color indexed="81"/>
            <rFont val="Tahoma"/>
            <family val="2"/>
          </rPr>
          <t xml:space="preserve">
KE IMF SA 1992, Table 18</t>
        </r>
      </text>
    </comment>
    <comment ref="BH72" authorId="1" shapeId="0">
      <text>
        <r>
          <rPr>
            <b/>
            <sz val="9"/>
            <color indexed="81"/>
            <rFont val="Tahoma"/>
            <family val="2"/>
          </rPr>
          <t>Administrator:</t>
        </r>
        <r>
          <rPr>
            <sz val="9"/>
            <color indexed="81"/>
            <rFont val="Tahoma"/>
            <family val="2"/>
          </rPr>
          <t xml:space="preserve">
</t>
        </r>
      </text>
    </comment>
    <comment ref="BK72" authorId="1" shapeId="0">
      <text>
        <r>
          <rPr>
            <b/>
            <sz val="9"/>
            <color indexed="81"/>
            <rFont val="Tahoma"/>
            <family val="2"/>
          </rPr>
          <t>Administrator:</t>
        </r>
        <r>
          <rPr>
            <sz val="9"/>
            <color indexed="81"/>
            <rFont val="Tahoma"/>
            <family val="2"/>
          </rPr>
          <t xml:space="preserve">
KE IMF SA 2002, Table 49</t>
        </r>
      </text>
    </comment>
    <comment ref="BQ72" authorId="1" shapeId="0">
      <text>
        <r>
          <rPr>
            <b/>
            <sz val="9"/>
            <color indexed="81"/>
            <rFont val="Tahoma"/>
            <family val="2"/>
          </rPr>
          <t>Administrator:</t>
        </r>
        <r>
          <rPr>
            <sz val="9"/>
            <color indexed="81"/>
            <rFont val="Tahoma"/>
            <family val="2"/>
          </rPr>
          <t xml:space="preserve">
KE IMF SA 2009, Table 20</t>
        </r>
      </text>
    </comment>
    <comment ref="BU72" authorId="1" shapeId="0">
      <text>
        <r>
          <rPr>
            <b/>
            <sz val="9"/>
            <color indexed="81"/>
            <rFont val="Tahoma"/>
            <family val="2"/>
          </rPr>
          <t>Administrator:</t>
        </r>
        <r>
          <rPr>
            <sz val="9"/>
            <color indexed="81"/>
            <rFont val="Tahoma"/>
            <family val="2"/>
          </rPr>
          <t xml:space="preserve">
Imputed</t>
        </r>
      </text>
    </comment>
    <comment ref="BV72" authorId="1" shapeId="0">
      <text>
        <r>
          <rPr>
            <b/>
            <sz val="9"/>
            <color indexed="81"/>
            <rFont val="Tahoma"/>
            <family val="2"/>
          </rPr>
          <t>Administrator:</t>
        </r>
        <r>
          <rPr>
            <sz val="9"/>
            <color indexed="81"/>
            <rFont val="Tahoma"/>
            <family val="2"/>
          </rPr>
          <t xml:space="preserve">
KE ES 2008, Table 6.8</t>
        </r>
      </text>
    </comment>
    <comment ref="BW72" authorId="1" shapeId="0">
      <text>
        <r>
          <rPr>
            <b/>
            <sz val="9"/>
            <color indexed="81"/>
            <rFont val="Tahoma"/>
            <family val="2"/>
          </rPr>
          <t>Administrator:</t>
        </r>
        <r>
          <rPr>
            <sz val="9"/>
            <color indexed="81"/>
            <rFont val="Tahoma"/>
            <family val="2"/>
          </rPr>
          <t xml:space="preserve">
KE ES 2010, Table 6.8</t>
        </r>
      </text>
    </comment>
    <comment ref="BY72" authorId="1" shapeId="0">
      <text>
        <r>
          <rPr>
            <b/>
            <sz val="9"/>
            <color indexed="81"/>
            <rFont val="Tahoma"/>
            <family val="2"/>
          </rPr>
          <t>Administrator:</t>
        </r>
        <r>
          <rPr>
            <sz val="9"/>
            <color indexed="81"/>
            <rFont val="Tahoma"/>
            <family val="2"/>
          </rPr>
          <t xml:space="preserve">
KE SA 2013, Table 169</t>
        </r>
      </text>
    </comment>
    <comment ref="R73" authorId="1" shapeId="0">
      <text>
        <r>
          <rPr>
            <b/>
            <sz val="9"/>
            <color indexed="81"/>
            <rFont val="Tahoma"/>
            <family val="2"/>
          </rPr>
          <t>Administrator:</t>
        </r>
        <r>
          <rPr>
            <sz val="9"/>
            <color indexed="81"/>
            <rFont val="Tahoma"/>
            <family val="2"/>
          </rPr>
          <t xml:space="preserve">
Kenya estimates of recurrent expenditure
(recurrent only)</t>
        </r>
      </text>
    </comment>
    <comment ref="AC73" authorId="1" shapeId="0">
      <text>
        <r>
          <rPr>
            <b/>
            <sz val="9"/>
            <color indexed="81"/>
            <rFont val="Tahoma"/>
            <family val="2"/>
          </rPr>
          <t>Administrator:</t>
        </r>
        <r>
          <rPr>
            <sz val="9"/>
            <color indexed="81"/>
            <rFont val="Tahoma"/>
            <family val="2"/>
          </rPr>
          <t xml:space="preserve">
KE IMF ARTICLE IV 1965, Table 25.</t>
        </r>
      </text>
    </comment>
    <comment ref="AL73" authorId="1" shapeId="0">
      <text>
        <r>
          <rPr>
            <b/>
            <sz val="9"/>
            <color indexed="81"/>
            <rFont val="Tahoma"/>
            <family val="2"/>
          </rPr>
          <t>Administrator:</t>
        </r>
        <r>
          <rPr>
            <sz val="9"/>
            <color indexed="81"/>
            <rFont val="Tahoma"/>
            <family val="2"/>
          </rPr>
          <t xml:space="preserve">
KE SA 1972, Table 205</t>
        </r>
      </text>
    </comment>
    <comment ref="AV73" authorId="1" shapeId="0">
      <text>
        <r>
          <rPr>
            <b/>
            <sz val="9"/>
            <color indexed="81"/>
            <rFont val="Tahoma"/>
            <family val="2"/>
          </rPr>
          <t>Administrator:</t>
        </r>
        <r>
          <rPr>
            <sz val="9"/>
            <color indexed="81"/>
            <rFont val="Tahoma"/>
            <family val="2"/>
          </rPr>
          <t xml:space="preserve">
KE SA 1982, Table 216</t>
        </r>
      </text>
    </comment>
    <comment ref="BF73" authorId="1" shapeId="0">
      <text>
        <r>
          <rPr>
            <b/>
            <sz val="9"/>
            <color indexed="81"/>
            <rFont val="Tahoma"/>
            <family val="2"/>
          </rPr>
          <t>Administrator:</t>
        </r>
        <r>
          <rPr>
            <sz val="9"/>
            <color indexed="81"/>
            <rFont val="Tahoma"/>
            <family val="2"/>
          </rPr>
          <t xml:space="preserve">
KE IMF SA 1992, Table 18</t>
        </r>
      </text>
    </comment>
    <comment ref="BP73" authorId="1" shapeId="0">
      <text>
        <r>
          <rPr>
            <b/>
            <sz val="9"/>
            <color indexed="81"/>
            <rFont val="Tahoma"/>
            <family val="2"/>
          </rPr>
          <t>Administrator:</t>
        </r>
        <r>
          <rPr>
            <sz val="9"/>
            <color indexed="81"/>
            <rFont val="Tahoma"/>
            <family val="2"/>
          </rPr>
          <t xml:space="preserve">
KE IMF SA 2009, Table 20</t>
        </r>
      </text>
    </comment>
    <comment ref="BZ73" authorId="1" shapeId="0">
      <text>
        <r>
          <rPr>
            <b/>
            <sz val="9"/>
            <color indexed="81"/>
            <rFont val="Tahoma"/>
            <family val="2"/>
          </rPr>
          <t>Administrator:</t>
        </r>
        <r>
          <rPr>
            <sz val="9"/>
            <color indexed="81"/>
            <rFont val="Tahoma"/>
            <family val="2"/>
          </rPr>
          <t xml:space="preserve">
KE SA 2013, Table 169</t>
        </r>
      </text>
    </comment>
    <comment ref="BH77" authorId="1" shapeId="0">
      <text>
        <r>
          <rPr>
            <b/>
            <sz val="9"/>
            <color indexed="81"/>
            <rFont val="Tahoma"/>
            <family val="2"/>
          </rPr>
          <t>Administrator:</t>
        </r>
        <r>
          <rPr>
            <sz val="9"/>
            <color indexed="81"/>
            <rFont val="Tahoma"/>
            <family val="2"/>
          </rPr>
          <t xml:space="preserve">
Taken from public finance accounts from 1992-1996 due to its considerably higher value. See discussion in chapter appendix.</t>
        </r>
      </text>
    </comment>
    <comment ref="V83" authorId="1" shapeId="0">
      <text>
        <r>
          <rPr>
            <b/>
            <sz val="9"/>
            <color indexed="81"/>
            <rFont val="Tahoma"/>
            <family val="2"/>
          </rPr>
          <t>Administrator:</t>
        </r>
        <r>
          <rPr>
            <sz val="9"/>
            <color indexed="81"/>
            <rFont val="Tahoma"/>
            <family val="2"/>
          </rPr>
          <t xml:space="preserve">
Estimated based on GDP series at factor cost (KE SA 1960, Table 131a). Factor cost GDP assumed to be 80% of market cost estimate above, calculated based on overlapping values. </t>
        </r>
      </text>
    </comment>
    <comment ref="V84" authorId="1" shapeId="0">
      <text>
        <r>
          <rPr>
            <b/>
            <sz val="9"/>
            <color indexed="81"/>
            <rFont val="Tahoma"/>
            <family val="2"/>
          </rPr>
          <t>Administrator:</t>
        </r>
        <r>
          <rPr>
            <sz val="9"/>
            <color indexed="81"/>
            <rFont val="Tahoma"/>
            <family val="2"/>
          </rPr>
          <t xml:space="preserve">
KE SA 1960, Table 131a</t>
        </r>
      </text>
    </comment>
    <comment ref="AA84" authorId="1" shapeId="0">
      <text>
        <r>
          <rPr>
            <b/>
            <sz val="9"/>
            <color indexed="81"/>
            <rFont val="Tahoma"/>
            <family val="2"/>
          </rPr>
          <t>Administrator:</t>
        </r>
        <r>
          <rPr>
            <sz val="9"/>
            <color indexed="81"/>
            <rFont val="Tahoma"/>
            <family val="2"/>
          </rPr>
          <t xml:space="preserve">
KE SA 1967, Table 39a</t>
        </r>
      </text>
    </comment>
    <comment ref="AE85" authorId="1" shapeId="0">
      <text>
        <r>
          <rPr>
            <b/>
            <sz val="9"/>
            <color indexed="81"/>
            <rFont val="Tahoma"/>
            <family val="2"/>
          </rPr>
          <t>Administrator:</t>
        </r>
        <r>
          <rPr>
            <sz val="9"/>
            <color indexed="81"/>
            <rFont val="Tahoma"/>
            <family val="2"/>
          </rPr>
          <t xml:space="preserve">
KE SA 1967, Table 38a</t>
        </r>
      </text>
    </comment>
    <comment ref="BE91" authorId="1" shapeId="0">
      <text>
        <r>
          <rPr>
            <b/>
            <sz val="9"/>
            <color indexed="81"/>
            <rFont val="Tahoma"/>
            <family val="2"/>
          </rPr>
          <t>Administrator:</t>
        </r>
        <r>
          <rPr>
            <sz val="9"/>
            <color indexed="81"/>
            <rFont val="Tahoma"/>
            <family val="2"/>
          </rPr>
          <t xml:space="preserve">
KE CENSUS 1989 (emp status = at family holding)</t>
        </r>
      </text>
    </comment>
    <comment ref="BY91" authorId="1" shapeId="0">
      <text>
        <r>
          <rPr>
            <b/>
            <sz val="9"/>
            <color indexed="81"/>
            <rFont val="Tahoma"/>
            <family val="2"/>
          </rPr>
          <t>Administrator:</t>
        </r>
        <r>
          <rPr>
            <sz val="9"/>
            <color indexed="81"/>
            <rFont val="Tahoma"/>
            <family val="2"/>
          </rPr>
          <t xml:space="preserve">
KE CENSUS 2009 (empstat = own, family agricultural holding)
</t>
        </r>
      </text>
    </comment>
    <comment ref="Y94" authorId="1" shapeId="0">
      <text>
        <r>
          <rPr>
            <b/>
            <sz val="9"/>
            <color indexed="81"/>
            <rFont val="Tahoma"/>
            <family val="2"/>
          </rPr>
          <t>Administrator:</t>
        </r>
        <r>
          <rPr>
            <sz val="9"/>
            <color indexed="81"/>
            <rFont val="Tahoma"/>
            <family val="2"/>
          </rPr>
          <t xml:space="preserve">
KE SA 1960, Table 149.</t>
        </r>
      </text>
    </comment>
    <comment ref="Z94" authorId="1" shapeId="0">
      <text>
        <r>
          <rPr>
            <b/>
            <sz val="9"/>
            <color indexed="81"/>
            <rFont val="Tahoma"/>
            <family val="2"/>
          </rPr>
          <t>Administrator:</t>
        </r>
        <r>
          <rPr>
            <sz val="9"/>
            <color indexed="81"/>
            <rFont val="Tahoma"/>
            <family val="2"/>
          </rPr>
          <t xml:space="preserve">
KE SA 1967, Table 178.</t>
        </r>
      </text>
    </comment>
    <comment ref="AI94" authorId="1" shapeId="0">
      <text>
        <r>
          <rPr>
            <b/>
            <sz val="9"/>
            <color indexed="81"/>
            <rFont val="Tahoma"/>
            <family val="2"/>
          </rPr>
          <t>Administrator:</t>
        </r>
        <r>
          <rPr>
            <sz val="9"/>
            <color indexed="81"/>
            <rFont val="Tahoma"/>
            <family val="2"/>
          </rPr>
          <t xml:space="preserve">
KE SA 1972, Table 237.</t>
        </r>
      </text>
    </comment>
    <comment ref="AN94" authorId="1" shapeId="0">
      <text>
        <r>
          <rPr>
            <b/>
            <sz val="9"/>
            <color indexed="81"/>
            <rFont val="Tahoma"/>
            <family val="2"/>
          </rPr>
          <t>Administrator:</t>
        </r>
        <r>
          <rPr>
            <sz val="9"/>
            <color indexed="81"/>
            <rFont val="Tahoma"/>
            <family val="2"/>
          </rPr>
          <t xml:space="preserve">
KE SA 1976, Table 262.</t>
        </r>
      </text>
    </comment>
    <comment ref="AR94" authorId="1" shapeId="0">
      <text>
        <r>
          <rPr>
            <b/>
            <sz val="9"/>
            <color indexed="81"/>
            <rFont val="Tahoma"/>
            <family val="2"/>
          </rPr>
          <t>Administrator:</t>
        </r>
        <r>
          <rPr>
            <sz val="9"/>
            <color indexed="81"/>
            <rFont val="Tahoma"/>
            <family val="2"/>
          </rPr>
          <t xml:space="preserve">
KE SA 1980, Table 255.</t>
        </r>
      </text>
    </comment>
    <comment ref="AV94" authorId="1" shapeId="0">
      <text>
        <r>
          <rPr>
            <b/>
            <sz val="9"/>
            <color indexed="81"/>
            <rFont val="Tahoma"/>
            <family val="2"/>
          </rPr>
          <t>Administrator:</t>
        </r>
        <r>
          <rPr>
            <sz val="9"/>
            <color indexed="81"/>
            <rFont val="Tahoma"/>
            <family val="2"/>
          </rPr>
          <t xml:space="preserve">
KE SA 1985, Table 231.</t>
        </r>
      </text>
    </comment>
    <comment ref="BA94" authorId="1" shapeId="0">
      <text>
        <r>
          <rPr>
            <b/>
            <sz val="9"/>
            <color indexed="81"/>
            <rFont val="Tahoma"/>
            <family val="2"/>
          </rPr>
          <t>Administrator:</t>
        </r>
        <r>
          <rPr>
            <sz val="9"/>
            <color indexed="81"/>
            <rFont val="Tahoma"/>
            <family val="2"/>
          </rPr>
          <t xml:space="preserve">
KE SA 1989, Table 229.</t>
        </r>
      </text>
    </comment>
    <comment ref="BE94" authorId="1" shapeId="0">
      <text>
        <r>
          <rPr>
            <b/>
            <sz val="9"/>
            <color indexed="81"/>
            <rFont val="Tahoma"/>
            <family val="2"/>
          </rPr>
          <t>Administrator:</t>
        </r>
        <r>
          <rPr>
            <sz val="9"/>
            <color indexed="81"/>
            <rFont val="Tahoma"/>
            <family val="2"/>
          </rPr>
          <t xml:space="preserve">
KE SA 1994, Table 224.</t>
        </r>
      </text>
    </comment>
    <comment ref="BJ94" authorId="1" shapeId="0">
      <text>
        <r>
          <rPr>
            <b/>
            <sz val="9"/>
            <color indexed="81"/>
            <rFont val="Tahoma"/>
            <family val="2"/>
          </rPr>
          <t>Administrator:</t>
        </r>
        <r>
          <rPr>
            <sz val="9"/>
            <color indexed="81"/>
            <rFont val="Tahoma"/>
            <family val="2"/>
          </rPr>
          <t xml:space="preserve">
KE SA 2000, Table 205.</t>
        </r>
      </text>
    </comment>
    <comment ref="BP94" authorId="1" shapeId="0">
      <text>
        <r>
          <rPr>
            <b/>
            <sz val="9"/>
            <color indexed="81"/>
            <rFont val="Tahoma"/>
            <family val="2"/>
          </rPr>
          <t>Administrator:</t>
        </r>
        <r>
          <rPr>
            <sz val="9"/>
            <color indexed="81"/>
            <rFont val="Tahoma"/>
            <family val="2"/>
          </rPr>
          <t xml:space="preserve">
KE SA 2004, Table 208.</t>
        </r>
      </text>
    </comment>
    <comment ref="BT94" authorId="1" shapeId="0">
      <text>
        <r>
          <rPr>
            <b/>
            <sz val="9"/>
            <color indexed="81"/>
            <rFont val="Tahoma"/>
            <family val="2"/>
          </rPr>
          <t>Administrator:</t>
        </r>
        <r>
          <rPr>
            <sz val="9"/>
            <color indexed="81"/>
            <rFont val="Tahoma"/>
            <family val="2"/>
          </rPr>
          <t xml:space="preserve">
KE SA 2008, Table 201.</t>
        </r>
      </text>
    </comment>
    <comment ref="BX94" authorId="1" shapeId="0">
      <text>
        <r>
          <rPr>
            <b/>
            <sz val="9"/>
            <color indexed="81"/>
            <rFont val="Tahoma"/>
            <family val="2"/>
          </rPr>
          <t>Administrator:</t>
        </r>
        <r>
          <rPr>
            <sz val="9"/>
            <color indexed="81"/>
            <rFont val="Tahoma"/>
            <family val="2"/>
          </rPr>
          <t xml:space="preserve">
KE SA 2013, Table 199.</t>
        </r>
      </text>
    </comment>
    <comment ref="Z97" authorId="1" shapeId="0">
      <text>
        <r>
          <rPr>
            <b/>
            <sz val="9"/>
            <color indexed="81"/>
            <rFont val="Tahoma"/>
            <family val="2"/>
          </rPr>
          <t>Administrator:</t>
        </r>
        <r>
          <rPr>
            <sz val="9"/>
            <color indexed="81"/>
            <rFont val="Tahoma"/>
            <family val="2"/>
          </rPr>
          <t xml:space="preserve">
KE SA 1967, Table 146 &amp; 148</t>
        </r>
      </text>
    </comment>
    <comment ref="AI97" authorId="1" shapeId="0">
      <text>
        <r>
          <rPr>
            <b/>
            <sz val="9"/>
            <color indexed="81"/>
            <rFont val="Tahoma"/>
            <family val="2"/>
          </rPr>
          <t>Administrator:</t>
        </r>
        <r>
          <rPr>
            <sz val="9"/>
            <color indexed="81"/>
            <rFont val="Tahoma"/>
            <family val="2"/>
          </rPr>
          <t xml:space="preserve">
KE SA 1977, Table 214</t>
        </r>
      </text>
    </comment>
    <comment ref="AT97" authorId="1" shapeId="0">
      <text>
        <r>
          <rPr>
            <b/>
            <sz val="9"/>
            <color indexed="81"/>
            <rFont val="Tahoma"/>
            <family val="2"/>
          </rPr>
          <t>Administrator:</t>
        </r>
        <r>
          <rPr>
            <sz val="9"/>
            <color indexed="81"/>
            <rFont val="Tahoma"/>
            <family val="2"/>
          </rPr>
          <t xml:space="preserve">
KE SA 1986, Table 172</t>
        </r>
      </text>
    </comment>
    <comment ref="BA97" authorId="1" shapeId="0">
      <text>
        <r>
          <rPr>
            <b/>
            <sz val="9"/>
            <color indexed="81"/>
            <rFont val="Tahoma"/>
            <family val="2"/>
          </rPr>
          <t>Administrator:</t>
        </r>
        <r>
          <rPr>
            <sz val="9"/>
            <color indexed="81"/>
            <rFont val="Tahoma"/>
            <family val="2"/>
          </rPr>
          <t xml:space="preserve">
KE SA 1989, table 172</t>
        </r>
      </text>
    </comment>
    <comment ref="BC97" authorId="1" shapeId="0">
      <text>
        <r>
          <rPr>
            <b/>
            <sz val="9"/>
            <color indexed="81"/>
            <rFont val="Tahoma"/>
            <family val="2"/>
          </rPr>
          <t>Administrator:</t>
        </r>
        <r>
          <rPr>
            <sz val="9"/>
            <color indexed="81"/>
            <rFont val="Tahoma"/>
            <family val="2"/>
          </rPr>
          <t xml:space="preserve">
KE SA 1996, Table 165.</t>
        </r>
      </text>
    </comment>
    <comment ref="BK97" authorId="1" shapeId="0">
      <text>
        <r>
          <rPr>
            <b/>
            <sz val="9"/>
            <color indexed="81"/>
            <rFont val="Tahoma"/>
            <family val="2"/>
          </rPr>
          <t>Administrator:</t>
        </r>
        <r>
          <rPr>
            <sz val="9"/>
            <color indexed="81"/>
            <rFont val="Tahoma"/>
            <family val="2"/>
          </rPr>
          <t xml:space="preserve">
KE SA 2004, Table 157.</t>
        </r>
      </text>
    </comment>
    <comment ref="BT97" authorId="1" shapeId="0">
      <text>
        <r>
          <rPr>
            <b/>
            <sz val="9"/>
            <color indexed="81"/>
            <rFont val="Tahoma"/>
            <family val="2"/>
          </rPr>
          <t>Administrator:</t>
        </r>
        <r>
          <rPr>
            <sz val="9"/>
            <color indexed="81"/>
            <rFont val="Tahoma"/>
            <family val="2"/>
          </rPr>
          <t xml:space="preserve">
KE SA 2008, Table 148</t>
        </r>
      </text>
    </comment>
    <comment ref="BX97" authorId="1" shapeId="0">
      <text>
        <r>
          <rPr>
            <b/>
            <sz val="9"/>
            <color indexed="81"/>
            <rFont val="Tahoma"/>
            <family val="2"/>
          </rPr>
          <t>Administrator:</t>
        </r>
        <r>
          <rPr>
            <sz val="9"/>
            <color indexed="81"/>
            <rFont val="Tahoma"/>
            <family val="2"/>
          </rPr>
          <t xml:space="preserve">
KE SA 2013, Table 147</t>
        </r>
      </text>
    </comment>
    <comment ref="Z101" authorId="1" shapeId="0">
      <text>
        <r>
          <rPr>
            <b/>
            <sz val="9"/>
            <color indexed="81"/>
            <rFont val="Tahoma"/>
            <family val="2"/>
          </rPr>
          <t>Administrator:</t>
        </r>
        <r>
          <rPr>
            <sz val="9"/>
            <color indexed="81"/>
            <rFont val="Tahoma"/>
            <family val="2"/>
          </rPr>
          <t xml:space="preserve">
KE SA 1967, Table 146 &amp; 149</t>
        </r>
      </text>
    </comment>
    <comment ref="AI101" authorId="1" shapeId="0">
      <text>
        <r>
          <rPr>
            <b/>
            <sz val="9"/>
            <color indexed="81"/>
            <rFont val="Tahoma"/>
            <family val="2"/>
          </rPr>
          <t>Administrator:</t>
        </r>
        <r>
          <rPr>
            <sz val="9"/>
            <color indexed="81"/>
            <rFont val="Tahoma"/>
            <family val="2"/>
          </rPr>
          <t xml:space="preserve">
KE SA 1977, Table 214</t>
        </r>
      </text>
    </comment>
    <comment ref="AJ101" authorId="1" shapeId="0">
      <text>
        <r>
          <rPr>
            <b/>
            <sz val="9"/>
            <color indexed="81"/>
            <rFont val="Tahoma"/>
            <family val="2"/>
          </rPr>
          <t>Administrator:</t>
        </r>
        <r>
          <rPr>
            <sz val="9"/>
            <color indexed="81"/>
            <rFont val="Tahoma"/>
            <family val="2"/>
          </rPr>
          <t xml:space="preserve">
Estimate in cost-benefit analysis report that there were 40,000 students in Harambee schools in this year.</t>
        </r>
      </text>
    </comment>
    <comment ref="AT101" authorId="1" shapeId="0">
      <text>
        <r>
          <rPr>
            <b/>
            <sz val="9"/>
            <color indexed="81"/>
            <rFont val="Tahoma"/>
            <family val="2"/>
          </rPr>
          <t>Administrator:</t>
        </r>
        <r>
          <rPr>
            <sz val="9"/>
            <color indexed="81"/>
            <rFont val="Tahoma"/>
            <family val="2"/>
          </rPr>
          <t xml:space="preserve">
KE SA 1986, Table 172</t>
        </r>
      </text>
    </comment>
    <comment ref="BA101" authorId="1" shapeId="0">
      <text>
        <r>
          <rPr>
            <b/>
            <sz val="9"/>
            <color indexed="81"/>
            <rFont val="Tahoma"/>
            <family val="2"/>
          </rPr>
          <t>Administrator:</t>
        </r>
        <r>
          <rPr>
            <sz val="9"/>
            <color indexed="81"/>
            <rFont val="Tahoma"/>
            <family val="2"/>
          </rPr>
          <t xml:space="preserve">
KE SA 1989, table 172</t>
        </r>
      </text>
    </comment>
    <comment ref="BC101" authorId="1" shapeId="0">
      <text>
        <r>
          <rPr>
            <b/>
            <sz val="9"/>
            <color indexed="81"/>
            <rFont val="Tahoma"/>
            <family val="2"/>
          </rPr>
          <t>Administrator:</t>
        </r>
        <r>
          <rPr>
            <sz val="9"/>
            <color indexed="81"/>
            <rFont val="Tahoma"/>
            <family val="2"/>
          </rPr>
          <t xml:space="preserve">
KE SA 1996, Table 165 &amp; 168(a)</t>
        </r>
      </text>
    </comment>
    <comment ref="BL101" authorId="1" shapeId="0">
      <text>
        <r>
          <rPr>
            <b/>
            <sz val="9"/>
            <color indexed="81"/>
            <rFont val="Tahoma"/>
            <family val="2"/>
          </rPr>
          <t>Administrator:</t>
        </r>
        <r>
          <rPr>
            <sz val="9"/>
            <color indexed="81"/>
            <rFont val="Tahoma"/>
            <family val="2"/>
          </rPr>
          <t xml:space="preserve">
KE SA 2000, Table 156(a)</t>
        </r>
      </text>
    </comment>
    <comment ref="BP101" authorId="1" shapeId="0">
      <text>
        <r>
          <rPr>
            <b/>
            <sz val="9"/>
            <color indexed="81"/>
            <rFont val="Tahoma"/>
            <family val="2"/>
          </rPr>
          <t>Administrator:</t>
        </r>
        <r>
          <rPr>
            <sz val="9"/>
            <color indexed="81"/>
            <rFont val="Tahoma"/>
            <family val="2"/>
          </rPr>
          <t xml:space="preserve">
KE SA 2004, Table 160(a)</t>
        </r>
      </text>
    </comment>
    <comment ref="BT101" authorId="1" shapeId="0">
      <text>
        <r>
          <rPr>
            <b/>
            <sz val="9"/>
            <color indexed="81"/>
            <rFont val="Tahoma"/>
            <family val="2"/>
          </rPr>
          <t>Administrator:</t>
        </r>
        <r>
          <rPr>
            <sz val="9"/>
            <color indexed="81"/>
            <rFont val="Tahoma"/>
            <family val="2"/>
          </rPr>
          <t xml:space="preserve">
KE SA 2008, Table 148 &amp; 151</t>
        </r>
      </text>
    </comment>
    <comment ref="BX101" authorId="1" shapeId="0">
      <text>
        <r>
          <rPr>
            <b/>
            <sz val="9"/>
            <color indexed="81"/>
            <rFont val="Tahoma"/>
            <family val="2"/>
          </rPr>
          <t>Administrator:</t>
        </r>
        <r>
          <rPr>
            <sz val="9"/>
            <color indexed="81"/>
            <rFont val="Tahoma"/>
            <family val="2"/>
          </rPr>
          <t xml:space="preserve">
KE SA 2010, Table 150</t>
        </r>
      </text>
    </comment>
    <comment ref="BY101" authorId="1" shapeId="0">
      <text>
        <r>
          <rPr>
            <b/>
            <sz val="9"/>
            <color indexed="81"/>
            <rFont val="Tahoma"/>
            <family val="2"/>
          </rPr>
          <t>Administrator:</t>
        </r>
        <r>
          <rPr>
            <sz val="9"/>
            <color indexed="81"/>
            <rFont val="Tahoma"/>
            <family val="2"/>
          </rPr>
          <t xml:space="preserve">
KE SA 2013, Table 150</t>
        </r>
      </text>
    </comment>
    <comment ref="C110" authorId="1" shapeId="0">
      <text>
        <r>
          <rPr>
            <b/>
            <sz val="9"/>
            <color indexed="81"/>
            <rFont val="Tahoma"/>
            <family val="2"/>
          </rPr>
          <t>Administrator:</t>
        </r>
        <r>
          <rPr>
            <sz val="9"/>
            <color indexed="81"/>
            <rFont val="Tahoma"/>
            <family val="2"/>
          </rPr>
          <t xml:space="preserve">
In earlier years this includes only primary teachers, from 1984 it also includes secondary school teachers (previously educated at universities)</t>
        </r>
      </text>
    </comment>
    <comment ref="Z110" authorId="1" shapeId="0">
      <text>
        <r>
          <rPr>
            <b/>
            <sz val="9"/>
            <color indexed="81"/>
            <rFont val="Tahoma"/>
            <family val="2"/>
          </rPr>
          <t>Administrator:</t>
        </r>
        <r>
          <rPr>
            <sz val="9"/>
            <color indexed="81"/>
            <rFont val="Tahoma"/>
            <family val="2"/>
          </rPr>
          <t xml:space="preserve">
KE SA 1967, Table 146</t>
        </r>
      </text>
    </comment>
    <comment ref="AI110" authorId="1" shapeId="0">
      <text>
        <r>
          <rPr>
            <b/>
            <sz val="9"/>
            <color indexed="81"/>
            <rFont val="Tahoma"/>
            <family val="2"/>
          </rPr>
          <t>Administrator:</t>
        </r>
        <r>
          <rPr>
            <sz val="9"/>
            <color indexed="81"/>
            <rFont val="Tahoma"/>
            <family val="2"/>
          </rPr>
          <t xml:space="preserve">
KE SA 1977, Table 214</t>
        </r>
      </text>
    </comment>
    <comment ref="AT110" authorId="1" shapeId="0">
      <text>
        <r>
          <rPr>
            <b/>
            <sz val="9"/>
            <color indexed="81"/>
            <rFont val="Tahoma"/>
            <family val="2"/>
          </rPr>
          <t>Administrator:</t>
        </r>
        <r>
          <rPr>
            <sz val="9"/>
            <color indexed="81"/>
            <rFont val="Tahoma"/>
            <family val="2"/>
          </rPr>
          <t xml:space="preserve">
KE SA 1986, Table 172</t>
        </r>
      </text>
    </comment>
    <comment ref="BA110" authorId="1" shapeId="0">
      <text>
        <r>
          <rPr>
            <b/>
            <sz val="9"/>
            <color indexed="81"/>
            <rFont val="Tahoma"/>
            <family val="2"/>
          </rPr>
          <t>Administrator:</t>
        </r>
        <r>
          <rPr>
            <sz val="9"/>
            <color indexed="81"/>
            <rFont val="Tahoma"/>
            <family val="2"/>
          </rPr>
          <t xml:space="preserve">
KE SA 1989, table 172</t>
        </r>
      </text>
    </comment>
    <comment ref="BC110" authorId="1" shapeId="0">
      <text>
        <r>
          <rPr>
            <b/>
            <sz val="9"/>
            <color indexed="81"/>
            <rFont val="Tahoma"/>
            <family val="2"/>
          </rPr>
          <t>Administrator:</t>
        </r>
        <r>
          <rPr>
            <sz val="9"/>
            <color indexed="81"/>
            <rFont val="Tahoma"/>
            <family val="2"/>
          </rPr>
          <t xml:space="preserve">
KE SA 1996, Table 165.</t>
        </r>
      </text>
    </comment>
    <comment ref="BG110" authorId="1" shapeId="0">
      <text>
        <r>
          <rPr>
            <b/>
            <sz val="9"/>
            <color indexed="81"/>
            <rFont val="Tahoma"/>
            <family val="2"/>
          </rPr>
          <t>Administrator:</t>
        </r>
        <r>
          <rPr>
            <sz val="9"/>
            <color indexed="81"/>
            <rFont val="Tahoma"/>
            <family val="2"/>
          </rPr>
          <t xml:space="preserve">
KE SA 1996, Table 170</t>
        </r>
      </text>
    </comment>
    <comment ref="BK110" authorId="1" shapeId="0">
      <text>
        <r>
          <rPr>
            <b/>
            <sz val="9"/>
            <color indexed="81"/>
            <rFont val="Tahoma"/>
            <family val="2"/>
          </rPr>
          <t>Administrator:</t>
        </r>
        <r>
          <rPr>
            <sz val="9"/>
            <color indexed="81"/>
            <rFont val="Tahoma"/>
            <family val="2"/>
          </rPr>
          <t xml:space="preserve">
KE SA 2000, Table 158</t>
        </r>
      </text>
    </comment>
    <comment ref="BN110" authorId="1" shapeId="0">
      <text>
        <r>
          <rPr>
            <b/>
            <sz val="9"/>
            <color indexed="81"/>
            <rFont val="Tahoma"/>
            <family val="2"/>
          </rPr>
          <t>Administrator:</t>
        </r>
        <r>
          <rPr>
            <sz val="9"/>
            <color indexed="81"/>
            <rFont val="Tahoma"/>
            <family val="2"/>
          </rPr>
          <t xml:space="preserve">
KE SA 2004, Table 162.</t>
        </r>
      </text>
    </comment>
    <comment ref="BT110" authorId="1" shapeId="0">
      <text>
        <r>
          <rPr>
            <b/>
            <sz val="9"/>
            <color indexed="81"/>
            <rFont val="Tahoma"/>
            <family val="2"/>
          </rPr>
          <t>Administrator:</t>
        </r>
        <r>
          <rPr>
            <sz val="9"/>
            <color indexed="81"/>
            <rFont val="Tahoma"/>
            <family val="2"/>
          </rPr>
          <t xml:space="preserve">
KE SA 2013, Table 147</t>
        </r>
      </text>
    </comment>
    <comment ref="AI113" authorId="1" shapeId="0">
      <text>
        <r>
          <rPr>
            <b/>
            <sz val="9"/>
            <color indexed="81"/>
            <rFont val="Tahoma"/>
            <family val="2"/>
          </rPr>
          <t>Administrator:</t>
        </r>
        <r>
          <rPr>
            <sz val="9"/>
            <color indexed="81"/>
            <rFont val="Tahoma"/>
            <family val="2"/>
          </rPr>
          <t xml:space="preserve">
KE SA 1977, Tables 221-224</t>
        </r>
      </text>
    </comment>
    <comment ref="AT113" authorId="1" shapeId="0">
      <text>
        <r>
          <rPr>
            <b/>
            <sz val="9"/>
            <color indexed="81"/>
            <rFont val="Tahoma"/>
            <family val="2"/>
          </rPr>
          <t>Administrator:</t>
        </r>
        <r>
          <rPr>
            <sz val="9"/>
            <color indexed="81"/>
            <rFont val="Tahoma"/>
            <family val="2"/>
          </rPr>
          <t xml:space="preserve">
KE SA 1981, Tables 205 - 208.</t>
        </r>
      </text>
    </comment>
    <comment ref="AW113" authorId="1" shapeId="0">
      <text>
        <r>
          <rPr>
            <b/>
            <sz val="9"/>
            <color indexed="81"/>
            <rFont val="Tahoma"/>
            <family val="2"/>
          </rPr>
          <t>Administrator:</t>
        </r>
        <r>
          <rPr>
            <sz val="9"/>
            <color indexed="81"/>
            <rFont val="Tahoma"/>
            <family val="2"/>
          </rPr>
          <t xml:space="preserve">
KE SA 1986, Tables 178 - 181.</t>
        </r>
      </text>
    </comment>
    <comment ref="BA113" authorId="1" shapeId="0">
      <text>
        <r>
          <rPr>
            <b/>
            <sz val="9"/>
            <color indexed="81"/>
            <rFont val="Tahoma"/>
            <family val="2"/>
          </rPr>
          <t>Administrator:</t>
        </r>
        <r>
          <rPr>
            <sz val="9"/>
            <color indexed="81"/>
            <rFont val="Tahoma"/>
            <family val="2"/>
          </rPr>
          <t xml:space="preserve">
KE SA 1989, Tables 178 - 183</t>
        </r>
      </text>
    </comment>
    <comment ref="BD113" authorId="1" shapeId="0">
      <text>
        <r>
          <rPr>
            <b/>
            <sz val="9"/>
            <color indexed="81"/>
            <rFont val="Tahoma"/>
            <family val="2"/>
          </rPr>
          <t>Administrator:</t>
        </r>
        <r>
          <rPr>
            <sz val="9"/>
            <color indexed="81"/>
            <rFont val="Tahoma"/>
            <family val="2"/>
          </rPr>
          <t xml:space="preserve">
KE SA 1996, Table 171-172 &amp; 176.</t>
        </r>
      </text>
    </comment>
    <comment ref="BK113" authorId="1" shapeId="0">
      <text>
        <r>
          <rPr>
            <b/>
            <sz val="9"/>
            <color indexed="81"/>
            <rFont val="Tahoma"/>
            <family val="2"/>
          </rPr>
          <t>Administrator:</t>
        </r>
        <r>
          <rPr>
            <sz val="9"/>
            <color indexed="81"/>
            <rFont val="Tahoma"/>
            <family val="2"/>
          </rPr>
          <t xml:space="preserve">
KE SA 2000, Table 155-160 &amp; 164.</t>
        </r>
      </text>
    </comment>
    <comment ref="BO113" authorId="1" shapeId="0">
      <text>
        <r>
          <rPr>
            <b/>
            <sz val="9"/>
            <color indexed="81"/>
            <rFont val="Tahoma"/>
            <family val="2"/>
          </rPr>
          <t>Administrator:</t>
        </r>
        <r>
          <rPr>
            <sz val="9"/>
            <color indexed="81"/>
            <rFont val="Tahoma"/>
            <family val="2"/>
          </rPr>
          <t xml:space="preserve">
KE SA 2004, Table 163 - 166.</t>
        </r>
      </text>
    </comment>
    <comment ref="BT113" authorId="1" shapeId="0">
      <text>
        <r>
          <rPr>
            <b/>
            <sz val="9"/>
            <color indexed="81"/>
            <rFont val="Tahoma"/>
            <family val="2"/>
          </rPr>
          <t>Administrator:</t>
        </r>
        <r>
          <rPr>
            <sz val="9"/>
            <color indexed="81"/>
            <rFont val="Tahoma"/>
            <family val="2"/>
          </rPr>
          <t xml:space="preserve">
KE SA 2008, Tables 155-157 &amp; 161.</t>
        </r>
      </text>
    </comment>
    <comment ref="BY113" authorId="1" shapeId="0">
      <text>
        <r>
          <rPr>
            <b/>
            <sz val="9"/>
            <color indexed="81"/>
            <rFont val="Tahoma"/>
            <family val="2"/>
          </rPr>
          <t>Administrator:</t>
        </r>
        <r>
          <rPr>
            <sz val="9"/>
            <color indexed="81"/>
            <rFont val="Tahoma"/>
            <family val="2"/>
          </rPr>
          <t xml:space="preserve">
KE SA 2013, Tables 154-160</t>
        </r>
      </text>
    </comment>
    <comment ref="CC113" authorId="1" shapeId="0">
      <text>
        <r>
          <rPr>
            <b/>
            <sz val="9"/>
            <color indexed="81"/>
            <rFont val="Tahoma"/>
            <family val="2"/>
          </rPr>
          <t>Administrator:</t>
        </r>
        <r>
          <rPr>
            <sz val="9"/>
            <color indexed="81"/>
            <rFont val="Tahoma"/>
            <family val="2"/>
          </rPr>
          <t xml:space="preserve">
KE SA 2015, Tables 154 - 160</t>
        </r>
      </text>
    </comment>
    <comment ref="BO114" authorId="1" shapeId="0">
      <text>
        <r>
          <rPr>
            <b/>
            <sz val="9"/>
            <color indexed="81"/>
            <rFont val="Tahoma"/>
            <family val="2"/>
          </rPr>
          <t>Administrator:</t>
        </r>
        <r>
          <rPr>
            <sz val="9"/>
            <color indexed="81"/>
            <rFont val="Tahoma"/>
            <family val="2"/>
          </rPr>
          <t xml:space="preserve">
KE SA 2004, Table 163 - 166.</t>
        </r>
      </text>
    </comment>
    <comment ref="C118" authorId="1" shapeId="0">
      <text>
        <r>
          <rPr>
            <b/>
            <sz val="9"/>
            <color indexed="81"/>
            <rFont val="Tahoma"/>
            <family val="2"/>
          </rPr>
          <t>Administrator:</t>
        </r>
        <r>
          <rPr>
            <sz val="9"/>
            <color indexed="81"/>
            <rFont val="Tahoma"/>
            <family val="2"/>
          </rPr>
          <t xml:space="preserve">
Excludes students overseas (not in Uni of EA), which was a reasonably large share in the 1960s.</t>
        </r>
      </text>
    </comment>
    <comment ref="AC118" authorId="1" shapeId="0">
      <text>
        <r>
          <rPr>
            <b/>
            <sz val="9"/>
            <color indexed="81"/>
            <rFont val="Tahoma"/>
            <family val="2"/>
          </rPr>
          <t>Administrator:</t>
        </r>
        <r>
          <rPr>
            <sz val="9"/>
            <color indexed="81"/>
            <rFont val="Tahoma"/>
            <family val="2"/>
          </rPr>
          <t xml:space="preserve">
KE SA 1967, Table 152</t>
        </r>
      </text>
    </comment>
    <comment ref="AY118" authorId="1" shapeId="0">
      <text>
        <r>
          <rPr>
            <b/>
            <sz val="9"/>
            <color indexed="81"/>
            <rFont val="Tahoma"/>
            <family val="2"/>
          </rPr>
          <t>Administrator:</t>
        </r>
        <r>
          <rPr>
            <sz val="9"/>
            <color indexed="81"/>
            <rFont val="Tahoma"/>
            <family val="2"/>
          </rPr>
          <t xml:space="preserve">
Universities closed down (to limit political dissent)</t>
        </r>
      </text>
    </comment>
    <comment ref="BP118" authorId="1" shapeId="0">
      <text>
        <r>
          <rPr>
            <b/>
            <sz val="9"/>
            <color indexed="81"/>
            <rFont val="Tahoma"/>
            <family val="2"/>
          </rPr>
          <t>Administrator:</t>
        </r>
        <r>
          <rPr>
            <sz val="9"/>
            <color indexed="81"/>
            <rFont val="Tahoma"/>
            <family val="2"/>
          </rPr>
          <t xml:space="preserve">
KE SA 2008, Tables 155-157 &amp; 161.</t>
        </r>
      </text>
    </comment>
  </commentList>
</comments>
</file>

<file path=xl/comments2.xml><?xml version="1.0" encoding="utf-8"?>
<comments xmlns="http://schemas.openxmlformats.org/spreadsheetml/2006/main">
  <authors>
    <author>Rebecca</author>
    <author>Howard Simson</author>
    <author>Administrator</author>
  </authors>
  <commentList>
    <comment ref="AF2" authorId="0" shapeId="0">
      <text>
        <r>
          <rPr>
            <b/>
            <sz val="9"/>
            <color indexed="81"/>
            <rFont val="Tahoma"/>
            <family val="2"/>
          </rPr>
          <t>Rebecca:</t>
        </r>
        <r>
          <rPr>
            <sz val="9"/>
            <color indexed="81"/>
            <rFont val="Tahoma"/>
            <family val="2"/>
          </rPr>
          <t xml:space="preserve">
Nationalization begins</t>
        </r>
      </text>
    </comment>
    <comment ref="AK2" authorId="1" shapeId="0">
      <text>
        <r>
          <rPr>
            <b/>
            <sz val="9"/>
            <color indexed="81"/>
            <rFont val="Calibri"/>
            <family val="2"/>
          </rPr>
          <t>Howard Simson:</t>
        </r>
        <r>
          <rPr>
            <sz val="9"/>
            <color indexed="81"/>
            <rFont val="Calibri"/>
            <family val="2"/>
          </rPr>
          <t xml:space="preserve">
Rural authorities abolished in 1972, urban authorities abolished in 1973.</t>
        </r>
      </text>
    </comment>
    <comment ref="AW2" authorId="0" shapeId="0">
      <text>
        <r>
          <rPr>
            <b/>
            <sz val="9"/>
            <color indexed="81"/>
            <rFont val="Tahoma"/>
            <family val="2"/>
          </rPr>
          <t>Rebecca:</t>
        </r>
        <r>
          <rPr>
            <sz val="9"/>
            <color indexed="81"/>
            <rFont val="Tahoma"/>
            <family val="2"/>
          </rPr>
          <t xml:space="preserve">
Local governments reinstated following LG election in 1983.</t>
        </r>
      </text>
    </comment>
    <comment ref="Y4" authorId="2" shapeId="0">
      <text>
        <r>
          <rPr>
            <b/>
            <sz val="9"/>
            <color indexed="81"/>
            <rFont val="Tahoma"/>
            <family val="2"/>
          </rPr>
          <t>Administrator:</t>
        </r>
        <r>
          <rPr>
            <sz val="9"/>
            <color indexed="81"/>
            <rFont val="Tahoma"/>
            <family val="2"/>
          </rPr>
          <t xml:space="preserve">
Frankema and Jerven up until 1961</t>
        </r>
      </text>
    </comment>
    <comment ref="Z4" authorId="2" shapeId="0">
      <text>
        <r>
          <rPr>
            <b/>
            <sz val="9"/>
            <color indexed="81"/>
            <rFont val="Tahoma"/>
            <family val="2"/>
          </rPr>
          <t>Administrator:</t>
        </r>
        <r>
          <rPr>
            <sz val="9"/>
            <color indexed="81"/>
            <rFont val="Tahoma"/>
            <family val="2"/>
          </rPr>
          <t xml:space="preserve">
WDI from 1961.</t>
        </r>
      </text>
    </comment>
    <comment ref="B5" authorId="2" shapeId="0">
      <text>
        <r>
          <rPr>
            <b/>
            <sz val="9"/>
            <color indexed="81"/>
            <rFont val="Tahoma"/>
            <family val="2"/>
          </rPr>
          <t>Administrator:</t>
        </r>
        <r>
          <rPr>
            <sz val="9"/>
            <color indexed="81"/>
            <rFont val="Tahoma"/>
            <family val="2"/>
          </rPr>
          <t xml:space="preserve">
Note, WDI population estimate derived from UN estimates, which differ slightly from the census estimates from 1988 and on, on the basis of adjutments made by the UN. I therefore extrapolate the mainland share from the WDI estimates after 1988.</t>
        </r>
      </text>
    </comment>
    <comment ref="Z5" authorId="2" shapeId="0">
      <text>
        <r>
          <rPr>
            <b/>
            <sz val="9"/>
            <color indexed="81"/>
            <rFont val="Tahoma"/>
            <family val="2"/>
          </rPr>
          <t>Administrator:</t>
        </r>
        <r>
          <rPr>
            <sz val="9"/>
            <color indexed="81"/>
            <rFont val="Tahoma"/>
            <family val="2"/>
          </rPr>
          <t xml:space="preserve">
From here on, census estimates, as these fit better from F &amp; J</t>
        </r>
      </text>
    </comment>
    <comment ref="AY5" authorId="2" shapeId="0">
      <text>
        <r>
          <rPr>
            <b/>
            <sz val="9"/>
            <color indexed="81"/>
            <rFont val="Tahoma"/>
            <family val="2"/>
          </rPr>
          <t>Administrator:</t>
        </r>
        <r>
          <rPr>
            <sz val="9"/>
            <color indexed="81"/>
            <rFont val="Tahoma"/>
            <family val="2"/>
          </rPr>
          <t xml:space="preserve">
From here on, 97.2% of UN estimate (to avoid divergence with UN est for later decades)</t>
        </r>
      </text>
    </comment>
    <comment ref="AF6" authorId="2" shapeId="0">
      <text>
        <r>
          <rPr>
            <b/>
            <sz val="9"/>
            <color indexed="81"/>
            <rFont val="Tahoma"/>
            <family val="2"/>
          </rPr>
          <t>Administrator:</t>
        </r>
        <r>
          <rPr>
            <sz val="9"/>
            <color indexed="81"/>
            <rFont val="Tahoma"/>
            <family val="2"/>
          </rPr>
          <t xml:space="preserve">
TZ CENSUS 1967</t>
        </r>
      </text>
    </comment>
    <comment ref="AQ6" authorId="2" shapeId="0">
      <text>
        <r>
          <rPr>
            <b/>
            <sz val="9"/>
            <color indexed="81"/>
            <rFont val="Tahoma"/>
            <family val="2"/>
          </rPr>
          <t>Administrator:</t>
        </r>
        <r>
          <rPr>
            <sz val="9"/>
            <color indexed="81"/>
            <rFont val="Tahoma"/>
            <family val="2"/>
          </rPr>
          <t xml:space="preserve">
TZ CENSUS 1978</t>
        </r>
      </text>
    </comment>
    <comment ref="BA6" authorId="2" shapeId="0">
      <text>
        <r>
          <rPr>
            <b/>
            <sz val="9"/>
            <color indexed="81"/>
            <rFont val="Tahoma"/>
            <family val="2"/>
          </rPr>
          <t>Administrator:</t>
        </r>
        <r>
          <rPr>
            <sz val="9"/>
            <color indexed="81"/>
            <rFont val="Tahoma"/>
            <family val="2"/>
          </rPr>
          <t xml:space="preserve">
TZ CENSUS 1988</t>
        </r>
      </text>
    </comment>
    <comment ref="BO6" authorId="2" shapeId="0">
      <text>
        <r>
          <rPr>
            <b/>
            <sz val="9"/>
            <color indexed="81"/>
            <rFont val="Tahoma"/>
            <family val="2"/>
          </rPr>
          <t>Administrator:</t>
        </r>
        <r>
          <rPr>
            <sz val="9"/>
            <color indexed="81"/>
            <rFont val="Tahoma"/>
            <family val="2"/>
          </rPr>
          <t xml:space="preserve">
TZ CENSUS 2002</t>
        </r>
      </text>
    </comment>
    <comment ref="BY6" authorId="2" shapeId="0">
      <text>
        <r>
          <rPr>
            <b/>
            <sz val="9"/>
            <color indexed="81"/>
            <rFont val="Tahoma"/>
            <family val="2"/>
          </rPr>
          <t>Administrator:</t>
        </r>
        <r>
          <rPr>
            <sz val="9"/>
            <color indexed="81"/>
            <rFont val="Tahoma"/>
            <family val="2"/>
          </rPr>
          <t xml:space="preserve">
TZ CENSUS 2012</t>
        </r>
      </text>
    </comment>
    <comment ref="N12" authorId="0" shapeId="0">
      <text>
        <r>
          <rPr>
            <b/>
            <sz val="9"/>
            <color indexed="81"/>
            <rFont val="Tahoma"/>
            <family val="2"/>
          </rPr>
          <t>Rebecca:</t>
        </r>
        <r>
          <rPr>
            <sz val="9"/>
            <color indexed="81"/>
            <rFont val="Tahoma"/>
            <family val="2"/>
          </rPr>
          <t xml:space="preserve">
TZ DoL 1949</t>
        </r>
      </text>
    </comment>
    <comment ref="P12" authorId="0" shapeId="0">
      <text>
        <r>
          <rPr>
            <b/>
            <sz val="9"/>
            <color indexed="81"/>
            <rFont val="Tahoma"/>
            <family val="2"/>
          </rPr>
          <t>Rebecca:</t>
        </r>
        <r>
          <rPr>
            <sz val="9"/>
            <color indexed="81"/>
            <rFont val="Tahoma"/>
            <family val="2"/>
          </rPr>
          <t xml:space="preserve">
TZ SA 1938-51, Table 109.</t>
        </r>
      </text>
    </comment>
    <comment ref="Q12" authorId="0" shapeId="0">
      <text>
        <r>
          <rPr>
            <b/>
            <sz val="9"/>
            <color indexed="81"/>
            <rFont val="Tahoma"/>
            <family val="2"/>
          </rPr>
          <t>Rebecca:</t>
        </r>
        <r>
          <rPr>
            <sz val="9"/>
            <color indexed="81"/>
            <rFont val="Tahoma"/>
            <family val="2"/>
          </rPr>
          <t xml:space="preserve">
TZ SA 1938-52, Table 120 &amp; Table 121.</t>
        </r>
      </text>
    </comment>
    <comment ref="R12" authorId="0" shapeId="0">
      <text>
        <r>
          <rPr>
            <b/>
            <sz val="9"/>
            <color indexed="81"/>
            <rFont val="Tahoma"/>
            <family val="2"/>
          </rPr>
          <t>Rebecca:</t>
        </r>
        <r>
          <rPr>
            <sz val="9"/>
            <color indexed="81"/>
            <rFont val="Tahoma"/>
            <family val="2"/>
          </rPr>
          <t xml:space="preserve">
TZ SA 1954, Table L.4</t>
        </r>
      </text>
    </comment>
    <comment ref="S12" authorId="0" shapeId="0">
      <text>
        <r>
          <rPr>
            <b/>
            <sz val="9"/>
            <color indexed="81"/>
            <rFont val="Tahoma"/>
            <family val="2"/>
          </rPr>
          <t>Rebecca:</t>
        </r>
        <r>
          <rPr>
            <sz val="9"/>
            <color indexed="81"/>
            <rFont val="Tahoma"/>
            <family val="2"/>
          </rPr>
          <t xml:space="preserve">
TZ SA 1955, Table L.4</t>
        </r>
      </text>
    </comment>
    <comment ref="T12" authorId="0" shapeId="0">
      <text>
        <r>
          <rPr>
            <b/>
            <sz val="9"/>
            <color indexed="81"/>
            <rFont val="Tahoma"/>
            <family val="2"/>
          </rPr>
          <t>Rebecca:</t>
        </r>
        <r>
          <rPr>
            <sz val="9"/>
            <color indexed="81"/>
            <rFont val="Tahoma"/>
            <family val="2"/>
          </rPr>
          <t xml:space="preserve">
TZ SA 1958, Table Q.3</t>
        </r>
      </text>
    </comment>
    <comment ref="U12" authorId="0" shapeId="0">
      <text>
        <r>
          <rPr>
            <b/>
            <sz val="9"/>
            <color indexed="81"/>
            <rFont val="Tahoma"/>
            <family val="2"/>
          </rPr>
          <t>Rebecca:</t>
        </r>
        <r>
          <rPr>
            <sz val="9"/>
            <color indexed="81"/>
            <rFont val="Tahoma"/>
            <family val="2"/>
          </rPr>
          <t xml:space="preserve">
TZ SA 1958, Table Q.3</t>
        </r>
      </text>
    </comment>
    <comment ref="V12" authorId="0" shapeId="0">
      <text>
        <r>
          <rPr>
            <b/>
            <sz val="9"/>
            <color indexed="81"/>
            <rFont val="Tahoma"/>
            <family val="2"/>
          </rPr>
          <t>Rebecca:</t>
        </r>
        <r>
          <rPr>
            <sz val="9"/>
            <color indexed="81"/>
            <rFont val="Tahoma"/>
            <family val="2"/>
          </rPr>
          <t xml:space="preserve">
TZ SA 1958, Table Q.3</t>
        </r>
      </text>
    </comment>
    <comment ref="W12" authorId="0" shapeId="0">
      <text>
        <r>
          <rPr>
            <b/>
            <sz val="9"/>
            <color indexed="81"/>
            <rFont val="Tahoma"/>
            <family val="2"/>
          </rPr>
          <t>Rebecca:</t>
        </r>
        <r>
          <rPr>
            <sz val="9"/>
            <color indexed="81"/>
            <rFont val="Tahoma"/>
            <family val="2"/>
          </rPr>
          <t xml:space="preserve">
TZ SA 1963, Table S.3
</t>
        </r>
      </text>
    </comment>
    <comment ref="Z12" authorId="0" shapeId="0">
      <text>
        <r>
          <rPr>
            <b/>
            <sz val="9"/>
            <color indexed="81"/>
            <rFont val="Tahoma"/>
            <family val="2"/>
          </rPr>
          <t>Rebecca:</t>
        </r>
        <r>
          <rPr>
            <sz val="9"/>
            <color indexed="81"/>
            <rFont val="Tahoma"/>
            <family val="2"/>
          </rPr>
          <t xml:space="preserve">
TZ SA 1963, Table S.3
</t>
        </r>
      </text>
    </comment>
    <comment ref="AA12" authorId="0" shapeId="0">
      <text>
        <r>
          <rPr>
            <b/>
            <sz val="9"/>
            <color indexed="81"/>
            <rFont val="Tahoma"/>
            <family val="2"/>
          </rPr>
          <t>Rebecca:</t>
        </r>
        <r>
          <rPr>
            <sz val="9"/>
            <color indexed="81"/>
            <rFont val="Tahoma"/>
            <family val="2"/>
          </rPr>
          <t xml:space="preserve">
TZ SA 1963, Table S.3
</t>
        </r>
      </text>
    </comment>
    <comment ref="AB12" authorId="0" shapeId="0">
      <text>
        <r>
          <rPr>
            <b/>
            <sz val="9"/>
            <color indexed="81"/>
            <rFont val="Tahoma"/>
            <family val="2"/>
          </rPr>
          <t>Rebecca:</t>
        </r>
        <r>
          <rPr>
            <sz val="9"/>
            <color indexed="81"/>
            <rFont val="Tahoma"/>
            <family val="2"/>
          </rPr>
          <t xml:space="preserve">
TZ SA 1964, Table S.3</t>
        </r>
      </text>
    </comment>
    <comment ref="AC12" authorId="0" shapeId="0">
      <text>
        <r>
          <rPr>
            <b/>
            <sz val="9"/>
            <color indexed="81"/>
            <rFont val="Tahoma"/>
            <family val="2"/>
          </rPr>
          <t>Rebecca:</t>
        </r>
        <r>
          <rPr>
            <sz val="9"/>
            <color indexed="81"/>
            <rFont val="Tahoma"/>
            <family val="2"/>
          </rPr>
          <t xml:space="preserve">
TZ EES 1964, Appendix I.</t>
        </r>
      </text>
    </comment>
    <comment ref="AD12" authorId="0" shapeId="0">
      <text>
        <r>
          <rPr>
            <b/>
            <sz val="9"/>
            <color indexed="81"/>
            <rFont val="Tahoma"/>
            <family val="2"/>
          </rPr>
          <t>Rebecca:</t>
        </r>
        <r>
          <rPr>
            <sz val="9"/>
            <color indexed="81"/>
            <rFont val="Tahoma"/>
            <family val="2"/>
          </rPr>
          <t xml:space="preserve">
TZ EES 1965, Appendix I.</t>
        </r>
      </text>
    </comment>
    <comment ref="AE12" authorId="0" shapeId="0">
      <text>
        <r>
          <rPr>
            <b/>
            <sz val="9"/>
            <color indexed="81"/>
            <rFont val="Tahoma"/>
            <family val="2"/>
          </rPr>
          <t>Rebecca:</t>
        </r>
        <r>
          <rPr>
            <sz val="9"/>
            <color indexed="81"/>
            <rFont val="Tahoma"/>
            <family val="2"/>
          </rPr>
          <t xml:space="preserve">
TZ EES 1966, Appendix I.</t>
        </r>
      </text>
    </comment>
    <comment ref="AF12" authorId="2" shapeId="0">
      <text>
        <r>
          <rPr>
            <b/>
            <sz val="9"/>
            <color indexed="81"/>
            <rFont val="Tahoma"/>
            <family val="2"/>
          </rPr>
          <t>Administrator:</t>
        </r>
        <r>
          <rPr>
            <sz val="9"/>
            <color indexed="81"/>
            <rFont val="Tahoma"/>
            <family val="2"/>
          </rPr>
          <t xml:space="preserve">
TZ IMF RED 1972</t>
        </r>
      </text>
    </comment>
    <comment ref="AH12" authorId="0" shapeId="0">
      <text>
        <r>
          <rPr>
            <b/>
            <sz val="9"/>
            <color indexed="81"/>
            <rFont val="Tahoma"/>
            <family val="2"/>
          </rPr>
          <t>Rebecca:</t>
        </r>
        <r>
          <rPr>
            <sz val="9"/>
            <color indexed="81"/>
            <rFont val="Tahoma"/>
            <family val="2"/>
          </rPr>
          <t xml:space="preserve">
TZ EES 1969, Appendix V.</t>
        </r>
      </text>
    </comment>
    <comment ref="AI12" authorId="0" shapeId="0">
      <text>
        <r>
          <rPr>
            <b/>
            <sz val="9"/>
            <color indexed="81"/>
            <rFont val="Tahoma"/>
            <family val="2"/>
          </rPr>
          <t>Rebecca:</t>
        </r>
        <r>
          <rPr>
            <sz val="9"/>
            <color indexed="81"/>
            <rFont val="Tahoma"/>
            <family val="2"/>
          </rPr>
          <t xml:space="preserve">
TZ EES 1970, Appendix VI.</t>
        </r>
      </text>
    </comment>
    <comment ref="AJ12" authorId="0" shapeId="0">
      <text>
        <r>
          <rPr>
            <b/>
            <sz val="9"/>
            <color indexed="81"/>
            <rFont val="Tahoma"/>
            <family val="2"/>
          </rPr>
          <t>Rebecca:</t>
        </r>
        <r>
          <rPr>
            <sz val="9"/>
            <color indexed="81"/>
            <rFont val="Tahoma"/>
            <family val="2"/>
          </rPr>
          <t xml:space="preserve">
TZ EES 1971, Appendix V.</t>
        </r>
      </text>
    </comment>
    <comment ref="AK12" authorId="0" shapeId="0">
      <text>
        <r>
          <rPr>
            <b/>
            <sz val="9"/>
            <color indexed="81"/>
            <rFont val="Tahoma"/>
            <family val="2"/>
          </rPr>
          <t>Rebecca:</t>
        </r>
        <r>
          <rPr>
            <sz val="9"/>
            <color indexed="81"/>
            <rFont val="Tahoma"/>
            <family val="2"/>
          </rPr>
          <t xml:space="preserve">
TZ EES 1972, Appendix V.</t>
        </r>
      </text>
    </comment>
    <comment ref="AL12" authorId="0" shapeId="0">
      <text>
        <r>
          <rPr>
            <b/>
            <sz val="9"/>
            <color indexed="81"/>
            <rFont val="Tahoma"/>
            <family val="2"/>
          </rPr>
          <t>Rebecca:</t>
        </r>
        <r>
          <rPr>
            <sz val="9"/>
            <color indexed="81"/>
            <rFont val="Tahoma"/>
            <family val="2"/>
          </rPr>
          <t xml:space="preserve">
TZ EES 1973-74, Table 1 and 1(a).</t>
        </r>
      </text>
    </comment>
    <comment ref="AM12" authorId="0" shapeId="0">
      <text>
        <r>
          <rPr>
            <b/>
            <sz val="9"/>
            <color indexed="81"/>
            <rFont val="Tahoma"/>
            <family val="2"/>
          </rPr>
          <t>Rebecca:</t>
        </r>
        <r>
          <rPr>
            <sz val="9"/>
            <color indexed="81"/>
            <rFont val="Tahoma"/>
            <family val="2"/>
          </rPr>
          <t xml:space="preserve">
TZ EES 1973-74, Table 1 and 1(a).</t>
        </r>
      </text>
    </comment>
    <comment ref="AN12" authorId="0" shapeId="0">
      <text>
        <r>
          <rPr>
            <b/>
            <sz val="9"/>
            <color indexed="81"/>
            <rFont val="Tahoma"/>
            <family val="2"/>
          </rPr>
          <t>Rebecca:</t>
        </r>
        <r>
          <rPr>
            <sz val="9"/>
            <color indexed="81"/>
            <rFont val="Tahoma"/>
            <family val="2"/>
          </rPr>
          <t xml:space="preserve">
TZ EES 1975-76, Table 1 and 1(a).</t>
        </r>
      </text>
    </comment>
    <comment ref="AO12" authorId="0" shapeId="0">
      <text>
        <r>
          <rPr>
            <b/>
            <sz val="9"/>
            <color indexed="81"/>
            <rFont val="Tahoma"/>
            <family val="2"/>
          </rPr>
          <t>Rebecca:</t>
        </r>
        <r>
          <rPr>
            <sz val="9"/>
            <color indexed="81"/>
            <rFont val="Tahoma"/>
            <family val="2"/>
          </rPr>
          <t xml:space="preserve">
TZ EES 1975-76, Table 1 and 1(a).</t>
        </r>
      </text>
    </comment>
    <comment ref="AR12" authorId="2" shapeId="0">
      <text>
        <r>
          <rPr>
            <b/>
            <sz val="9"/>
            <color indexed="81"/>
            <rFont val="Tahoma"/>
            <family val="2"/>
          </rPr>
          <t>Administrator:</t>
        </r>
        <r>
          <rPr>
            <sz val="9"/>
            <color indexed="81"/>
            <rFont val="Tahoma"/>
            <family val="2"/>
          </rPr>
          <t xml:space="preserve">
TZ WB PER 1989, Volume III, Table C8.
(up until 1984)</t>
        </r>
      </text>
    </comment>
    <comment ref="AX12" authorId="2" shapeId="0">
      <text>
        <r>
          <rPr>
            <b/>
            <sz val="9"/>
            <color indexed="81"/>
            <rFont val="Tahoma"/>
            <family val="2"/>
          </rPr>
          <t>Administrator:</t>
        </r>
        <r>
          <rPr>
            <sz val="9"/>
            <color indexed="81"/>
            <rFont val="Tahoma"/>
            <family val="2"/>
          </rPr>
          <t xml:space="preserve">
TZ IMF SA 1992, Table 10.
(data until 1989, 1984 total does not match earlier series however.)</t>
        </r>
      </text>
    </comment>
    <comment ref="BN12" authorId="2" shapeId="0">
      <text>
        <r>
          <rPr>
            <b/>
            <sz val="9"/>
            <color indexed="81"/>
            <rFont val="Tahoma"/>
            <family val="2"/>
          </rPr>
          <t>Administrator:</t>
        </r>
        <r>
          <rPr>
            <sz val="9"/>
            <color indexed="81"/>
            <rFont val="Tahoma"/>
            <family val="2"/>
          </rPr>
          <t xml:space="preserve">
TZ EES 2001, Table 2.3 and 2.7</t>
        </r>
      </text>
    </comment>
    <comment ref="BO12" authorId="2" shapeId="0">
      <text>
        <r>
          <rPr>
            <b/>
            <sz val="9"/>
            <color indexed="81"/>
            <rFont val="Tahoma"/>
            <family val="2"/>
          </rPr>
          <t>Administrator:</t>
        </r>
        <r>
          <rPr>
            <sz val="9"/>
            <color indexed="81"/>
            <rFont val="Tahoma"/>
            <family val="2"/>
          </rPr>
          <t xml:space="preserve">
TZ EES 2002, Table 2.1</t>
        </r>
      </text>
    </comment>
    <comment ref="BR12" authorId="2" shapeId="0">
      <text>
        <r>
          <rPr>
            <b/>
            <sz val="9"/>
            <color indexed="81"/>
            <rFont val="Tahoma"/>
            <family val="2"/>
          </rPr>
          <t>Administrator:</t>
        </r>
        <r>
          <rPr>
            <sz val="9"/>
            <color indexed="81"/>
            <rFont val="Tahoma"/>
            <family val="2"/>
          </rPr>
          <t xml:space="preserve">
TZ EES 2007, Table 2.2</t>
        </r>
      </text>
    </comment>
    <comment ref="BS12" authorId="2" shapeId="0">
      <text>
        <r>
          <rPr>
            <b/>
            <sz val="9"/>
            <color indexed="81"/>
            <rFont val="Tahoma"/>
            <family val="2"/>
          </rPr>
          <t>Administrator:</t>
        </r>
        <r>
          <rPr>
            <sz val="9"/>
            <color indexed="81"/>
            <rFont val="Tahoma"/>
            <family val="2"/>
          </rPr>
          <t xml:space="preserve">
TZ EES 2007, Table 2.2</t>
        </r>
      </text>
    </comment>
    <comment ref="BT12" authorId="2" shapeId="0">
      <text>
        <r>
          <rPr>
            <b/>
            <sz val="9"/>
            <color indexed="81"/>
            <rFont val="Tahoma"/>
            <family val="2"/>
          </rPr>
          <t>Administrator:</t>
        </r>
        <r>
          <rPr>
            <sz val="9"/>
            <color indexed="81"/>
            <rFont val="Tahoma"/>
            <family val="2"/>
          </rPr>
          <t xml:space="preserve">
TZ EES 2007, Table 2.2</t>
        </r>
      </text>
    </comment>
    <comment ref="BW12" authorId="2" shapeId="0">
      <text>
        <r>
          <rPr>
            <b/>
            <sz val="9"/>
            <color indexed="81"/>
            <rFont val="Tahoma"/>
            <family val="2"/>
          </rPr>
          <t>Administrator:</t>
        </r>
        <r>
          <rPr>
            <sz val="9"/>
            <color indexed="81"/>
            <rFont val="Tahoma"/>
            <family val="2"/>
          </rPr>
          <t xml:space="preserve">
TZ EES 2011, Table 2.1 &amp; Figure 2.1</t>
        </r>
      </text>
    </comment>
    <comment ref="BX12" authorId="2" shapeId="0">
      <text>
        <r>
          <rPr>
            <b/>
            <sz val="9"/>
            <color indexed="81"/>
            <rFont val="Tahoma"/>
            <family val="2"/>
          </rPr>
          <t>Administrator:</t>
        </r>
        <r>
          <rPr>
            <sz val="9"/>
            <color indexed="81"/>
            <rFont val="Tahoma"/>
            <family val="2"/>
          </rPr>
          <t xml:space="preserve">
TZ EES 2011, Table 2.1 &amp; Figure 2.1</t>
        </r>
      </text>
    </comment>
    <comment ref="BY12" authorId="2" shapeId="0">
      <text>
        <r>
          <rPr>
            <b/>
            <sz val="9"/>
            <color indexed="81"/>
            <rFont val="Tahoma"/>
            <family val="2"/>
          </rPr>
          <t>Administrator:</t>
        </r>
        <r>
          <rPr>
            <sz val="9"/>
            <color indexed="81"/>
            <rFont val="Tahoma"/>
            <family val="2"/>
          </rPr>
          <t xml:space="preserve">
TZ EES 2013, Table 2.3A</t>
        </r>
      </text>
    </comment>
    <comment ref="BZ12" authorId="2" shapeId="0">
      <text>
        <r>
          <rPr>
            <b/>
            <sz val="9"/>
            <color indexed="81"/>
            <rFont val="Tahoma"/>
            <family val="2"/>
          </rPr>
          <t>Administrator:</t>
        </r>
        <r>
          <rPr>
            <sz val="9"/>
            <color indexed="81"/>
            <rFont val="Tahoma"/>
            <family val="2"/>
          </rPr>
          <t xml:space="preserve">
TZ EES 2013, Table 2.3A</t>
        </r>
      </text>
    </comment>
    <comment ref="CA12" authorId="2" shapeId="0">
      <text>
        <r>
          <rPr>
            <b/>
            <sz val="9"/>
            <color indexed="81"/>
            <rFont val="Tahoma"/>
            <family val="2"/>
          </rPr>
          <t>Administrator:</t>
        </r>
        <r>
          <rPr>
            <sz val="9"/>
            <color indexed="81"/>
            <rFont val="Tahoma"/>
            <family val="2"/>
          </rPr>
          <t xml:space="preserve">
TZ EES 2014</t>
        </r>
      </text>
    </comment>
    <comment ref="AT13" authorId="2" shapeId="0">
      <text>
        <r>
          <rPr>
            <b/>
            <sz val="9"/>
            <color indexed="81"/>
            <rFont val="Tahoma"/>
            <family val="2"/>
          </rPr>
          <t>Administrator:</t>
        </r>
        <r>
          <rPr>
            <sz val="9"/>
            <color indexed="81"/>
            <rFont val="Tahoma"/>
            <family val="2"/>
          </rPr>
          <t xml:space="preserve">
Coops begin to be counted under private employment in 1981. To correct for this I estimate the coop number and subtract from the private sector number.</t>
        </r>
      </text>
    </comment>
    <comment ref="AW13" authorId="0" shapeId="0">
      <text>
        <r>
          <rPr>
            <b/>
            <sz val="9"/>
            <color indexed="81"/>
            <rFont val="Tahoma"/>
            <family val="2"/>
          </rPr>
          <t>Rebecca:</t>
        </r>
        <r>
          <rPr>
            <sz val="9"/>
            <color indexed="81"/>
            <rFont val="Tahoma"/>
            <family val="2"/>
          </rPr>
          <t xml:space="preserve">
171 according to 2001 employment and earnings report - had 146 from a different sources...</t>
        </r>
      </text>
    </comment>
    <comment ref="C14" authorId="0" shapeId="0">
      <text>
        <r>
          <rPr>
            <b/>
            <sz val="9"/>
            <color indexed="81"/>
            <rFont val="Tahoma"/>
            <family val="2"/>
          </rPr>
          <t>Rebecca:</t>
        </r>
        <r>
          <rPr>
            <sz val="9"/>
            <color indexed="81"/>
            <rFont val="Tahoma"/>
            <family val="2"/>
          </rPr>
          <t xml:space="preserve">
Change from African to citizen in 1963.</t>
        </r>
      </text>
    </comment>
    <comment ref="J14" authorId="0" shapeId="0">
      <text>
        <r>
          <rPr>
            <b/>
            <sz val="9"/>
            <color indexed="81"/>
            <rFont val="Tahoma"/>
            <family val="2"/>
          </rPr>
          <t>Rebecca:</t>
        </r>
        <r>
          <rPr>
            <sz val="9"/>
            <color indexed="81"/>
            <rFont val="Tahoma"/>
            <family val="2"/>
          </rPr>
          <t xml:space="preserve">
TZ DoL 1945</t>
        </r>
      </text>
    </comment>
    <comment ref="L14" authorId="0" shapeId="0">
      <text>
        <r>
          <rPr>
            <b/>
            <sz val="9"/>
            <color indexed="81"/>
            <rFont val="Tahoma"/>
            <family val="2"/>
          </rPr>
          <t>Rebecca:</t>
        </r>
        <r>
          <rPr>
            <sz val="9"/>
            <color indexed="81"/>
            <rFont val="Tahoma"/>
            <family val="2"/>
          </rPr>
          <t xml:space="preserve">
TZ DoL 1947-48</t>
        </r>
      </text>
    </comment>
    <comment ref="W14" authorId="0" shapeId="0">
      <text>
        <r>
          <rPr>
            <b/>
            <sz val="9"/>
            <color indexed="81"/>
            <rFont val="Tahoma"/>
            <family val="2"/>
          </rPr>
          <t>Rebecca:</t>
        </r>
        <r>
          <rPr>
            <sz val="9"/>
            <color indexed="81"/>
            <rFont val="Tahoma"/>
            <family val="2"/>
          </rPr>
          <t xml:space="preserve">
TZ SA 1961, Table S.4</t>
        </r>
      </text>
    </comment>
    <comment ref="R15" authorId="2" shapeId="0">
      <text>
        <r>
          <rPr>
            <b/>
            <sz val="9"/>
            <color indexed="81"/>
            <rFont val="Tahoma"/>
            <family val="2"/>
          </rPr>
          <t>Administrator:</t>
        </r>
        <r>
          <rPr>
            <sz val="9"/>
            <color indexed="81"/>
            <rFont val="Tahoma"/>
            <family val="2"/>
          </rPr>
          <t xml:space="preserve">
Interpolated</t>
        </r>
      </text>
    </comment>
    <comment ref="AL16" authorId="2" shapeId="0">
      <text>
        <r>
          <rPr>
            <b/>
            <sz val="9"/>
            <color indexed="81"/>
            <rFont val="Tahoma"/>
            <family val="2"/>
          </rPr>
          <t>Administrator:</t>
        </r>
        <r>
          <rPr>
            <sz val="9"/>
            <color indexed="81"/>
            <rFont val="Tahoma"/>
            <family val="2"/>
          </rPr>
          <t xml:space="preserve">
Big jump due to hiring of layed off Tazara railway construction workers</t>
        </r>
      </text>
    </comment>
    <comment ref="AN16" authorId="2" shapeId="0">
      <text>
        <r>
          <rPr>
            <b/>
            <sz val="9"/>
            <color indexed="81"/>
            <rFont val="Tahoma"/>
            <family val="2"/>
          </rPr>
          <t>Administrator:</t>
        </r>
        <r>
          <rPr>
            <sz val="9"/>
            <color indexed="81"/>
            <rFont val="Tahoma"/>
            <family val="2"/>
          </rPr>
          <t xml:space="preserve">
Tazara workers then fired in 1975...</t>
        </r>
      </text>
    </comment>
    <comment ref="BN16" authorId="0" shapeId="0">
      <text>
        <r>
          <rPr>
            <b/>
            <sz val="9"/>
            <color indexed="81"/>
            <rFont val="Tahoma"/>
            <family val="2"/>
          </rPr>
          <t>Rebecca:</t>
        </r>
        <r>
          <rPr>
            <sz val="9"/>
            <color indexed="81"/>
            <rFont val="Tahoma"/>
            <family val="2"/>
          </rPr>
          <t xml:space="preserve">
Cooperatives reclassified into public.</t>
        </r>
      </text>
    </comment>
    <comment ref="BO16" authorId="0" shapeId="0">
      <text>
        <r>
          <rPr>
            <b/>
            <sz val="9"/>
            <color indexed="81"/>
            <rFont val="Tahoma"/>
            <family val="2"/>
          </rPr>
          <t>Rebecca:</t>
        </r>
        <r>
          <rPr>
            <sz val="9"/>
            <color indexed="81"/>
            <rFont val="Tahoma"/>
            <family val="2"/>
          </rPr>
          <t xml:space="preserve">
Cooperatives reclassified into public.</t>
        </r>
      </text>
    </comment>
    <comment ref="C18" authorId="0" shapeId="0">
      <text>
        <r>
          <rPr>
            <b/>
            <sz val="9"/>
            <color indexed="81"/>
            <rFont val="Tahoma"/>
            <family val="2"/>
          </rPr>
          <t>Rebecca:</t>
        </r>
        <r>
          <rPr>
            <sz val="9"/>
            <color indexed="81"/>
            <rFont val="Tahoma"/>
            <family val="2"/>
          </rPr>
          <t xml:space="preserve">
Change from African to citizen in 1963.</t>
        </r>
      </text>
    </comment>
    <comment ref="J18" authorId="0" shapeId="0">
      <text>
        <r>
          <rPr>
            <b/>
            <sz val="9"/>
            <color indexed="81"/>
            <rFont val="Tahoma"/>
            <family val="2"/>
          </rPr>
          <t>Rebecca:</t>
        </r>
        <r>
          <rPr>
            <sz val="9"/>
            <color indexed="81"/>
            <rFont val="Tahoma"/>
            <family val="2"/>
          </rPr>
          <t xml:space="preserve">
Annual report of the labour department 1945</t>
        </r>
      </text>
    </comment>
    <comment ref="L18" authorId="0" shapeId="0">
      <text>
        <r>
          <rPr>
            <b/>
            <sz val="9"/>
            <color indexed="81"/>
            <rFont val="Tahoma"/>
            <family val="2"/>
          </rPr>
          <t>Rebecca:</t>
        </r>
        <r>
          <rPr>
            <sz val="9"/>
            <color indexed="81"/>
            <rFont val="Tahoma"/>
            <family val="2"/>
          </rPr>
          <t xml:space="preserve">
Labour Dept annual report 47-48</t>
        </r>
      </text>
    </comment>
    <comment ref="P18" authorId="0" shapeId="0">
      <text>
        <r>
          <rPr>
            <b/>
            <sz val="9"/>
            <color indexed="81"/>
            <rFont val="Tahoma"/>
            <family val="2"/>
          </rPr>
          <t>Rebecca:</t>
        </r>
        <r>
          <rPr>
            <sz val="9"/>
            <color indexed="81"/>
            <rFont val="Tahoma"/>
            <family val="2"/>
          </rPr>
          <t xml:space="preserve">
Includes casuals</t>
        </r>
      </text>
    </comment>
    <comment ref="W18" authorId="0" shapeId="0">
      <text>
        <r>
          <rPr>
            <b/>
            <sz val="9"/>
            <color indexed="81"/>
            <rFont val="Tahoma"/>
            <family val="2"/>
          </rPr>
          <t>Rebecca:</t>
        </r>
        <r>
          <rPr>
            <sz val="9"/>
            <color indexed="81"/>
            <rFont val="Tahoma"/>
            <family val="2"/>
          </rPr>
          <t xml:space="preserve">
TZ SA 1961, Table S.4</t>
        </r>
      </text>
    </comment>
    <comment ref="AN18" authorId="0" shapeId="0">
      <text>
        <r>
          <rPr>
            <b/>
            <sz val="9"/>
            <color indexed="81"/>
            <rFont val="Tahoma"/>
            <family val="2"/>
          </rPr>
          <t>Rebecca:</t>
        </r>
        <r>
          <rPr>
            <sz val="9"/>
            <color indexed="81"/>
            <rFont val="Tahoma"/>
            <family val="2"/>
          </rPr>
          <t xml:space="preserve">
Only has non-citizen data for regular employees, so pressumed that non-citizens are all regulars.</t>
        </r>
      </text>
    </comment>
    <comment ref="R19" authorId="2" shapeId="0">
      <text>
        <r>
          <rPr>
            <b/>
            <sz val="9"/>
            <color indexed="81"/>
            <rFont val="Tahoma"/>
            <family val="2"/>
          </rPr>
          <t>Administrator:</t>
        </r>
        <r>
          <rPr>
            <sz val="9"/>
            <color indexed="81"/>
            <rFont val="Tahoma"/>
            <family val="2"/>
          </rPr>
          <t xml:space="preserve">
Interpolated</t>
        </r>
      </text>
    </comment>
    <comment ref="AJ24" authorId="2" shapeId="0">
      <text>
        <r>
          <rPr>
            <b/>
            <sz val="9"/>
            <color indexed="81"/>
            <rFont val="Tahoma"/>
            <family val="2"/>
          </rPr>
          <t>Administrator:</t>
        </r>
        <r>
          <rPr>
            <sz val="9"/>
            <color indexed="81"/>
            <rFont val="Tahoma"/>
            <family val="2"/>
          </rPr>
          <t xml:space="preserve">
Matches CSD figures</t>
        </r>
      </text>
    </comment>
    <comment ref="AM24" authorId="2" shapeId="0">
      <text>
        <r>
          <rPr>
            <b/>
            <sz val="9"/>
            <color indexed="81"/>
            <rFont val="Tahoma"/>
            <family val="2"/>
          </rPr>
          <t>Administrator:</t>
        </r>
        <r>
          <rPr>
            <sz val="9"/>
            <color indexed="81"/>
            <rFont val="Tahoma"/>
            <family val="2"/>
          </rPr>
          <t xml:space="preserve">
Tazara effect!</t>
        </r>
      </text>
    </comment>
    <comment ref="AZ24" authorId="1" shapeId="0">
      <text>
        <r>
          <rPr>
            <b/>
            <sz val="9"/>
            <color indexed="81"/>
            <rFont val="Calibri"/>
            <family val="2"/>
          </rPr>
          <t>Howard Simson:</t>
        </r>
        <r>
          <rPr>
            <sz val="9"/>
            <color indexed="81"/>
            <rFont val="Calibri"/>
            <family val="2"/>
          </rPr>
          <t xml:space="preserve">
WB staff estimate in 1989 PER - CG includes regional govt. Apparently a shift of personnel back to LGs in the 1980s.
Excl. armed forces</t>
        </r>
      </text>
    </comment>
    <comment ref="BY24" authorId="2" shapeId="0">
      <text>
        <r>
          <rPr>
            <b/>
            <sz val="9"/>
            <color indexed="81"/>
            <rFont val="Tahoma"/>
            <family val="2"/>
          </rPr>
          <t>Administrator:</t>
        </r>
        <r>
          <rPr>
            <sz val="9"/>
            <color indexed="81"/>
            <rFont val="Tahoma"/>
            <family val="2"/>
          </rPr>
          <t xml:space="preserve">
2012 employment and earnings survey
Includes casuals - but they only constitute about 2% of employment
Education roughly 177,000.</t>
        </r>
      </text>
    </comment>
    <comment ref="CA24" authorId="0" shapeId="0">
      <text>
        <r>
          <rPr>
            <b/>
            <sz val="9"/>
            <color indexed="81"/>
            <rFont val="Tahoma"/>
            <family val="2"/>
          </rPr>
          <t>Rebecca:</t>
        </r>
        <r>
          <rPr>
            <sz val="9"/>
            <color indexed="81"/>
            <rFont val="Tahoma"/>
            <family val="2"/>
          </rPr>
          <t xml:space="preserve">
2014 ILFS has 626,000</t>
        </r>
      </text>
    </comment>
    <comment ref="AZ25" authorId="1" shapeId="0">
      <text>
        <r>
          <rPr>
            <b/>
            <sz val="9"/>
            <color indexed="81"/>
            <rFont val="Calibri"/>
            <family val="2"/>
          </rPr>
          <t>Howard Simson:</t>
        </r>
        <r>
          <rPr>
            <sz val="9"/>
            <color indexed="81"/>
            <rFont val="Calibri"/>
            <family val="2"/>
          </rPr>
          <t xml:space="preserve">
Taken from personnel in post, below</t>
        </r>
      </text>
    </comment>
    <comment ref="X26" authorId="2" shapeId="0">
      <text>
        <r>
          <rPr>
            <b/>
            <sz val="9"/>
            <color indexed="81"/>
            <rFont val="Tahoma"/>
            <family val="2"/>
          </rPr>
          <t>Administrator:</t>
        </r>
        <r>
          <rPr>
            <sz val="9"/>
            <color indexed="81"/>
            <rFont val="Tahoma"/>
            <family val="2"/>
          </rPr>
          <t xml:space="preserve">
municipal and township + native authorities
</t>
        </r>
      </text>
    </comment>
    <comment ref="AL26" authorId="0" shapeId="0">
      <text>
        <r>
          <rPr>
            <b/>
            <sz val="9"/>
            <color indexed="81"/>
            <rFont val="Tahoma"/>
            <family val="2"/>
          </rPr>
          <t>Rebecca:</t>
        </r>
        <r>
          <rPr>
            <sz val="9"/>
            <color indexed="81"/>
            <rFont val="Tahoma"/>
            <family val="2"/>
          </rPr>
          <t xml:space="preserve">
Looks like LG staff get transferred to CG here. - new centralisation policy, district councils ceased to operate.</t>
        </r>
      </text>
    </comment>
    <comment ref="AM26" authorId="0" shapeId="0">
      <text>
        <r>
          <rPr>
            <b/>
            <sz val="9"/>
            <color indexed="81"/>
            <rFont val="Tahoma"/>
            <family val="2"/>
          </rPr>
          <t>Rebecca:</t>
        </r>
        <r>
          <rPr>
            <sz val="9"/>
            <color indexed="81"/>
            <rFont val="Tahoma"/>
            <family val="2"/>
          </rPr>
          <t xml:space="preserve">
Must check this figure - the WB 1977 study has it at 10.7 - seems  reasonable. In my original data it was 20.6 !</t>
        </r>
      </text>
    </comment>
    <comment ref="AZ26" authorId="1" shapeId="0">
      <text>
        <r>
          <rPr>
            <b/>
            <sz val="9"/>
            <color indexed="81"/>
            <rFont val="Calibri"/>
            <family val="2"/>
          </rPr>
          <t>Howard Simson:</t>
        </r>
        <r>
          <rPr>
            <sz val="9"/>
            <color indexed="81"/>
            <rFont val="Calibri"/>
            <family val="2"/>
          </rPr>
          <t xml:space="preserve">
Taken from local govt service commission estimate. Excl. Daily paid and temp. - "guesstimate!"
But excl. urban councils I think...</t>
        </r>
      </text>
    </comment>
    <comment ref="AG28" authorId="1" shapeId="0">
      <text>
        <r>
          <rPr>
            <b/>
            <sz val="9"/>
            <color indexed="81"/>
            <rFont val="Calibri"/>
            <family val="2"/>
          </rPr>
          <t>Howard Simson:</t>
        </r>
        <r>
          <rPr>
            <sz val="9"/>
            <color indexed="81"/>
            <rFont val="Calibri"/>
            <family val="2"/>
          </rPr>
          <t xml:space="preserve">
Nationalisation begins</t>
        </r>
      </text>
    </comment>
    <comment ref="AT28" authorId="2" shapeId="0">
      <text>
        <r>
          <rPr>
            <b/>
            <sz val="9"/>
            <color indexed="81"/>
            <rFont val="Tahoma"/>
            <family val="2"/>
          </rPr>
          <t>Administrator:</t>
        </r>
        <r>
          <rPr>
            <sz val="9"/>
            <color indexed="81"/>
            <rFont val="Tahoma"/>
            <family val="2"/>
          </rPr>
          <t xml:space="preserve">
Coops begin to be counted under private employment in 1981. To correct for this I estimate the coop number and add to parastatal est.</t>
        </r>
      </text>
    </comment>
    <comment ref="CA28" authorId="0" shapeId="0">
      <text>
        <r>
          <rPr>
            <b/>
            <sz val="9"/>
            <color indexed="81"/>
            <rFont val="Tahoma"/>
            <family val="2"/>
          </rPr>
          <t>Rebecca:</t>
        </r>
        <r>
          <rPr>
            <sz val="9"/>
            <color indexed="81"/>
            <rFont val="Tahoma"/>
            <family val="2"/>
          </rPr>
          <t xml:space="preserve">
Matches 2014 ILFS well - 72,000</t>
        </r>
      </text>
    </comment>
    <comment ref="AL30" authorId="0" shapeId="0">
      <text>
        <r>
          <rPr>
            <b/>
            <sz val="9"/>
            <color indexed="81"/>
            <rFont val="Tahoma"/>
            <family val="2"/>
          </rPr>
          <t>Rebecca:</t>
        </r>
        <r>
          <rPr>
            <sz val="9"/>
            <color indexed="81"/>
            <rFont val="Tahoma"/>
            <family val="2"/>
          </rPr>
          <t xml:space="preserve">
Possible that I've accidentally flipped coops and non-profit institutions</t>
        </r>
      </text>
    </comment>
    <comment ref="AS30" authorId="2" shapeId="0">
      <text>
        <r>
          <rPr>
            <b/>
            <sz val="9"/>
            <color indexed="81"/>
            <rFont val="Tahoma"/>
            <family val="2"/>
          </rPr>
          <t>Administrator:</t>
        </r>
        <r>
          <rPr>
            <sz val="9"/>
            <color indexed="81"/>
            <rFont val="Tahoma"/>
            <family val="2"/>
          </rPr>
          <t xml:space="preserve">
Incl. coops and non-profit making institutions</t>
        </r>
      </text>
    </comment>
    <comment ref="C38" authorId="2" shapeId="0">
      <text>
        <r>
          <rPr>
            <b/>
            <sz val="9"/>
            <color indexed="81"/>
            <rFont val="Tahoma"/>
            <family val="2"/>
          </rPr>
          <t>Administrator:</t>
        </r>
        <r>
          <rPr>
            <sz val="9"/>
            <color indexed="81"/>
            <rFont val="Tahoma"/>
            <family val="2"/>
          </rPr>
          <t xml:space="preserve">
Includes: Tanzania govt operational service, govt service, teachers service, protective service, and govt protective service..? (Some but note all LG staff!)</t>
        </r>
      </text>
    </comment>
    <comment ref="Z38" authorId="2" shapeId="0">
      <text>
        <r>
          <rPr>
            <b/>
            <sz val="9"/>
            <color indexed="81"/>
            <rFont val="Tahoma"/>
            <family val="2"/>
          </rPr>
          <t>Administrator:</t>
        </r>
        <r>
          <rPr>
            <sz val="9"/>
            <color indexed="81"/>
            <rFont val="Tahoma"/>
            <family val="2"/>
          </rPr>
          <t xml:space="preserve">
TZ WB PER 1994, Vol I, Table 3.7.</t>
        </r>
      </text>
    </comment>
    <comment ref="AJ38" authorId="2" shapeId="0">
      <text>
        <r>
          <rPr>
            <b/>
            <sz val="9"/>
            <color indexed="81"/>
            <rFont val="Tahoma"/>
            <family val="2"/>
          </rPr>
          <t>Administrator:</t>
        </r>
        <r>
          <rPr>
            <sz val="9"/>
            <color indexed="81"/>
            <rFont val="Tahoma"/>
            <family val="2"/>
          </rPr>
          <t xml:space="preserve">
Lukumai, 2006. Table 4.2.</t>
        </r>
      </text>
    </comment>
    <comment ref="AN38" authorId="2" shapeId="0">
      <text>
        <r>
          <rPr>
            <b/>
            <sz val="9"/>
            <color indexed="81"/>
            <rFont val="Tahoma"/>
            <family val="2"/>
          </rPr>
          <t>Administrator:</t>
        </r>
        <r>
          <rPr>
            <sz val="9"/>
            <color indexed="81"/>
            <rFont val="Tahoma"/>
            <family val="2"/>
          </rPr>
          <t xml:space="preserve">
Lukumai, 2006. Table 4.2.</t>
        </r>
      </text>
    </comment>
    <comment ref="AO38" authorId="2" shapeId="0">
      <text>
        <r>
          <rPr>
            <b/>
            <sz val="9"/>
            <color indexed="81"/>
            <rFont val="Tahoma"/>
            <family val="2"/>
          </rPr>
          <t>Administrator:</t>
        </r>
        <r>
          <rPr>
            <sz val="9"/>
            <color indexed="81"/>
            <rFont val="Tahoma"/>
            <family val="2"/>
          </rPr>
          <t xml:space="preserve">
From a different series on regular employees, but seems to match well.</t>
        </r>
      </text>
    </comment>
    <comment ref="AT38" authorId="2" shapeId="0">
      <text>
        <r>
          <rPr>
            <b/>
            <sz val="9"/>
            <color indexed="81"/>
            <rFont val="Tahoma"/>
            <family val="2"/>
          </rPr>
          <t>Administrator:</t>
        </r>
        <r>
          <rPr>
            <sz val="9"/>
            <color indexed="81"/>
            <rFont val="Tahoma"/>
            <family val="2"/>
          </rPr>
          <t xml:space="preserve">
TZ WB PER 1989, Vol. III, Table C.2., also in Lukumai, 2006.</t>
        </r>
      </text>
    </comment>
    <comment ref="AX38" authorId="2" shapeId="0">
      <text>
        <r>
          <rPr>
            <b/>
            <sz val="9"/>
            <color indexed="81"/>
            <rFont val="Tahoma"/>
            <family val="2"/>
          </rPr>
          <t>Administrator:</t>
        </r>
        <r>
          <rPr>
            <sz val="9"/>
            <color indexed="81"/>
            <rFont val="Tahoma"/>
            <family val="2"/>
          </rPr>
          <t xml:space="preserve">
Lukumai, 2006. Table 4.2.</t>
        </r>
      </text>
    </comment>
    <comment ref="BA38" authorId="2" shapeId="0">
      <text>
        <r>
          <rPr>
            <b/>
            <sz val="9"/>
            <color indexed="81"/>
            <rFont val="Tahoma"/>
            <family val="2"/>
          </rPr>
          <t>Administrator:</t>
        </r>
        <r>
          <rPr>
            <sz val="9"/>
            <color indexed="81"/>
            <rFont val="Tahoma"/>
            <family val="2"/>
          </rPr>
          <t xml:space="preserve">
TZ WB PER 1994, Vol I, Table 3.7; also in Lukumai, 2006.</t>
        </r>
      </text>
    </comment>
    <comment ref="BF38" authorId="2" shapeId="0">
      <text>
        <r>
          <rPr>
            <b/>
            <sz val="9"/>
            <color indexed="81"/>
            <rFont val="Tahoma"/>
            <family val="2"/>
          </rPr>
          <t>Administrator:</t>
        </r>
        <r>
          <rPr>
            <sz val="9"/>
            <color indexed="81"/>
            <rFont val="Tahoma"/>
            <family val="2"/>
          </rPr>
          <t xml:space="preserve">
Lukumai, 2006. Table 4.2.</t>
        </r>
      </text>
    </comment>
    <comment ref="BG38" authorId="2" shapeId="0">
      <text>
        <r>
          <rPr>
            <b/>
            <sz val="9"/>
            <color indexed="81"/>
            <rFont val="Tahoma"/>
            <family val="2"/>
          </rPr>
          <t>Administrator:</t>
        </r>
        <r>
          <rPr>
            <sz val="9"/>
            <color indexed="81"/>
            <rFont val="Tahoma"/>
            <family val="2"/>
          </rPr>
          <t xml:space="preserve">
Lukumai, 2006. Table 4.2.</t>
        </r>
      </text>
    </comment>
    <comment ref="BJ38" authorId="2" shapeId="0">
      <text>
        <r>
          <rPr>
            <b/>
            <sz val="9"/>
            <color indexed="81"/>
            <rFont val="Tahoma"/>
            <family val="2"/>
          </rPr>
          <t>Administrator:</t>
        </r>
        <r>
          <rPr>
            <sz val="9"/>
            <color indexed="81"/>
            <rFont val="Tahoma"/>
            <family val="2"/>
          </rPr>
          <t xml:space="preserve">
TZ WB PER 2000, Vol I, Table 2.4 (Civil service employment for FY97-99)</t>
        </r>
      </text>
    </comment>
    <comment ref="BL38" authorId="2" shapeId="0">
      <text>
        <r>
          <rPr>
            <b/>
            <sz val="9"/>
            <color indexed="81"/>
            <rFont val="Tahoma"/>
            <family val="2"/>
          </rPr>
          <t>Administrator:</t>
        </r>
        <r>
          <rPr>
            <sz val="9"/>
            <color indexed="81"/>
            <rFont val="Tahoma"/>
            <family val="2"/>
          </rPr>
          <t xml:space="preserve">
TZ WB PER 2002, Table 2-6.</t>
        </r>
      </text>
    </comment>
    <comment ref="BO38" authorId="2" shapeId="0">
      <text>
        <r>
          <rPr>
            <b/>
            <sz val="9"/>
            <color indexed="81"/>
            <rFont val="Tahoma"/>
            <family val="2"/>
          </rPr>
          <t>Administrator:</t>
        </r>
        <r>
          <rPr>
            <sz val="9"/>
            <color indexed="81"/>
            <rFont val="Tahoma"/>
            <family val="2"/>
          </rPr>
          <t xml:space="preserve">
TZ WB PER 2004, Table 5. (Misalignment in FY across different PERs. Going with earliest estimate.)</t>
        </r>
      </text>
    </comment>
    <comment ref="BQ38" authorId="2" shapeId="0">
      <text>
        <r>
          <rPr>
            <b/>
            <sz val="9"/>
            <color indexed="81"/>
            <rFont val="Tahoma"/>
            <family val="2"/>
          </rPr>
          <t>Administrator:</t>
        </r>
        <r>
          <rPr>
            <sz val="9"/>
            <color indexed="81"/>
            <rFont val="Tahoma"/>
            <family val="2"/>
          </rPr>
          <t xml:space="preserve">
TZ POPSM 2004, Page 3-1. </t>
        </r>
      </text>
    </comment>
    <comment ref="BR38" authorId="2" shapeId="0">
      <text>
        <r>
          <rPr>
            <b/>
            <sz val="9"/>
            <color indexed="81"/>
            <rFont val="Tahoma"/>
            <family val="2"/>
          </rPr>
          <t>Administrator:</t>
        </r>
        <r>
          <rPr>
            <sz val="9"/>
            <color indexed="81"/>
            <rFont val="Tahoma"/>
            <family val="2"/>
          </rPr>
          <t xml:space="preserve">
TZ POPSM 2004, Page 3-1 (Sept 2004 est.)</t>
        </r>
      </text>
    </comment>
    <comment ref="BW38" authorId="2" shapeId="0">
      <text>
        <r>
          <rPr>
            <b/>
            <sz val="9"/>
            <color indexed="81"/>
            <rFont val="Tahoma"/>
            <family val="2"/>
          </rPr>
          <t>Administrator:</t>
        </r>
        <r>
          <rPr>
            <sz val="9"/>
            <color indexed="81"/>
            <rFont val="Tahoma"/>
            <family val="2"/>
          </rPr>
          <t xml:space="preserve">
TZ WB PER 2009 or 2010?</t>
        </r>
      </text>
    </comment>
    <comment ref="CD38" authorId="2" shapeId="0">
      <text>
        <r>
          <rPr>
            <b/>
            <sz val="9"/>
            <color indexed="81"/>
            <rFont val="Tahoma"/>
            <family val="2"/>
          </rPr>
          <t>Administrator:</t>
        </r>
        <r>
          <rPr>
            <sz val="9"/>
            <color indexed="81"/>
            <rFont val="Tahoma"/>
            <family val="2"/>
          </rPr>
          <t xml:space="preserve">
http://www.africanews.com/2017/04/29/tanzania-president-magufuli-sacks-9932-civil-servants//</t>
        </r>
      </text>
    </comment>
    <comment ref="C40" authorId="2" shapeId="0">
      <text>
        <r>
          <rPr>
            <b/>
            <sz val="9"/>
            <color indexed="81"/>
            <rFont val="Tahoma"/>
            <family val="2"/>
          </rPr>
          <t>Administrator:</t>
        </r>
        <r>
          <rPr>
            <sz val="9"/>
            <color indexed="81"/>
            <rFont val="Tahoma"/>
            <family val="2"/>
          </rPr>
          <t xml:space="preserve">
Excludes armed forces.</t>
        </r>
      </text>
    </comment>
    <comment ref="AZ40" authorId="1" shapeId="0">
      <text>
        <r>
          <rPr>
            <b/>
            <sz val="9"/>
            <color indexed="81"/>
            <rFont val="Calibri"/>
            <family val="2"/>
          </rPr>
          <t>Howard Simson:</t>
        </r>
        <r>
          <rPr>
            <sz val="9"/>
            <color indexed="81"/>
            <rFont val="Calibri"/>
            <family val="2"/>
          </rPr>
          <t xml:space="preserve">
108 of these are civil servants.</t>
        </r>
      </text>
    </comment>
    <comment ref="BA40" authorId="1" shapeId="0">
      <text>
        <r>
          <rPr>
            <b/>
            <sz val="9"/>
            <color indexed="81"/>
            <rFont val="Calibri"/>
            <family val="2"/>
          </rPr>
          <t>Howard Simson:</t>
        </r>
        <r>
          <rPr>
            <sz val="9"/>
            <color indexed="81"/>
            <rFont val="Calibri"/>
            <family val="2"/>
          </rPr>
          <t xml:space="preserve">
108 of these are civil servants.</t>
        </r>
      </text>
    </comment>
    <comment ref="AY42" authorId="1" shapeId="0">
      <text>
        <r>
          <rPr>
            <b/>
            <sz val="9"/>
            <color indexed="81"/>
            <rFont val="Calibri"/>
            <family val="2"/>
          </rPr>
          <t>Howard Simson:</t>
        </r>
        <r>
          <rPr>
            <sz val="9"/>
            <color indexed="81"/>
            <rFont val="Calibri"/>
            <family val="2"/>
          </rPr>
          <t xml:space="preserve">
My guess is that they re-establish LGs here and shift staff into them.Teachers no longer included in this number for instance - details in 1989 WB report.</t>
        </r>
      </text>
    </comment>
    <comment ref="C48" authorId="0" shapeId="0">
      <text>
        <r>
          <rPr>
            <b/>
            <sz val="9"/>
            <color indexed="81"/>
            <rFont val="Tahoma"/>
            <family val="2"/>
          </rPr>
          <t>Rebecca:</t>
        </r>
        <r>
          <rPr>
            <sz val="9"/>
            <color indexed="81"/>
            <rFont val="Tahoma"/>
            <family val="2"/>
          </rPr>
          <t xml:space="preserve">
Originally from the EES, but using the industrial rather than sectoral classification. Many public sector employees categorized under other industry headings.</t>
        </r>
      </text>
    </comment>
    <comment ref="AU49" authorId="2" shapeId="0">
      <text>
        <r>
          <rPr>
            <b/>
            <sz val="9"/>
            <color indexed="81"/>
            <rFont val="Tahoma"/>
            <family val="2"/>
          </rPr>
          <t>Administrator:</t>
        </r>
        <r>
          <rPr>
            <sz val="9"/>
            <color indexed="81"/>
            <rFont val="Tahoma"/>
            <family val="2"/>
          </rPr>
          <t xml:space="preserve">
TZ IMF RED 1988, Annex III, Table VII</t>
        </r>
      </text>
    </comment>
    <comment ref="AW49" authorId="2" shapeId="0">
      <text>
        <r>
          <rPr>
            <b/>
            <sz val="9"/>
            <color indexed="81"/>
            <rFont val="Tahoma"/>
            <family val="2"/>
          </rPr>
          <t>Administrator:</t>
        </r>
        <r>
          <rPr>
            <sz val="9"/>
            <color indexed="81"/>
            <rFont val="Tahoma"/>
            <family val="2"/>
          </rPr>
          <t xml:space="preserve">
TZ IMF RED 1991, Annex III, Table V.</t>
        </r>
      </text>
    </comment>
    <comment ref="BD51" authorId="0" shapeId="0">
      <text>
        <r>
          <rPr>
            <b/>
            <sz val="9"/>
            <color indexed="81"/>
            <rFont val="Tahoma"/>
            <family val="2"/>
          </rPr>
          <t>Rebecca:</t>
        </r>
        <r>
          <rPr>
            <sz val="9"/>
            <color indexed="81"/>
            <rFont val="Tahoma"/>
            <family val="2"/>
          </rPr>
          <t xml:space="preserve">
TZ LFS 1990/91, (also reported in TZ SA 2011)</t>
        </r>
      </text>
    </comment>
    <comment ref="BF51" authorId="2" shapeId="0">
      <text>
        <r>
          <rPr>
            <b/>
            <sz val="9"/>
            <color indexed="81"/>
            <rFont val="Tahoma"/>
            <family val="2"/>
          </rPr>
          <t>Administrator:</t>
        </r>
        <r>
          <rPr>
            <sz val="9"/>
            <color indexed="81"/>
            <rFont val="Tahoma"/>
            <family val="2"/>
          </rPr>
          <t xml:space="preserve">
TZ HRDS 1993 
(Cleaned data, using variable pubemp (i24) excl. those that do not report public sector earnings as first or second priority among income sources.)</t>
        </r>
      </text>
    </comment>
    <comment ref="BM51" authorId="2" shapeId="0">
      <text>
        <r>
          <rPr>
            <b/>
            <sz val="9"/>
            <color indexed="81"/>
            <rFont val="Tahoma"/>
            <family val="2"/>
          </rPr>
          <t>Administrator:</t>
        </r>
        <r>
          <rPr>
            <sz val="9"/>
            <color indexed="81"/>
            <rFont val="Tahoma"/>
            <family val="2"/>
          </rPr>
          <t xml:space="preserve">
TZ LFS 2000</t>
        </r>
      </text>
    </comment>
    <comment ref="BN51" authorId="2" shapeId="0">
      <text>
        <r>
          <rPr>
            <b/>
            <sz val="9"/>
            <color indexed="81"/>
            <rFont val="Tahoma"/>
            <family val="2"/>
          </rPr>
          <t>Administrator:</t>
        </r>
        <r>
          <rPr>
            <sz val="9"/>
            <color indexed="81"/>
            <rFont val="Tahoma"/>
            <family val="2"/>
          </rPr>
          <t xml:space="preserve">
TZ HBS 2000/01
</t>
        </r>
      </text>
    </comment>
    <comment ref="BS51" authorId="2" shapeId="0">
      <text>
        <r>
          <rPr>
            <b/>
            <sz val="9"/>
            <color indexed="81"/>
            <rFont val="Tahoma"/>
            <family val="2"/>
          </rPr>
          <t>Administrator:</t>
        </r>
        <r>
          <rPr>
            <sz val="9"/>
            <color indexed="81"/>
            <rFont val="Tahoma"/>
            <family val="2"/>
          </rPr>
          <t xml:space="preserve">
TZ LFS 2006
(Excl. defense force)</t>
        </r>
      </text>
    </comment>
    <comment ref="BV51" authorId="2" shapeId="0">
      <text>
        <r>
          <rPr>
            <b/>
            <sz val="9"/>
            <color indexed="81"/>
            <rFont val="Tahoma"/>
            <family val="2"/>
          </rPr>
          <t>Administrator:</t>
        </r>
        <r>
          <rPr>
            <sz val="9"/>
            <color indexed="81"/>
            <rFont val="Tahoma"/>
            <family val="2"/>
          </rPr>
          <t xml:space="preserve">
TZ HBS 2008/09 </t>
        </r>
      </text>
    </comment>
    <comment ref="BY51" authorId="2" shapeId="0">
      <text>
        <r>
          <rPr>
            <b/>
            <sz val="9"/>
            <color indexed="81"/>
            <rFont val="Tahoma"/>
            <family val="2"/>
          </rPr>
          <t>Administrator:</t>
        </r>
        <r>
          <rPr>
            <sz val="9"/>
            <color indexed="81"/>
            <rFont val="Tahoma"/>
            <family val="2"/>
          </rPr>
          <t xml:space="preserve">
TZ HBS 2011/12 
(only those listing public employment as primary activity)</t>
        </r>
      </text>
    </comment>
    <comment ref="CA51" authorId="2" shapeId="0">
      <text>
        <r>
          <rPr>
            <b/>
            <sz val="9"/>
            <color indexed="81"/>
            <rFont val="Tahoma"/>
            <family val="2"/>
          </rPr>
          <t>Administrator:</t>
        </r>
        <r>
          <rPr>
            <sz val="9"/>
            <color indexed="81"/>
            <rFont val="Tahoma"/>
            <family val="2"/>
          </rPr>
          <t xml:space="preserve">
TZ LFS 2014 
(Excl. defence and those without formal contracts or wage income)</t>
        </r>
      </text>
    </comment>
    <comment ref="AC56" authorId="2" shapeId="0">
      <text>
        <r>
          <rPr>
            <b/>
            <sz val="9"/>
            <color indexed="81"/>
            <rFont val="Tahoma"/>
            <family val="2"/>
          </rPr>
          <t>Administrator:</t>
        </r>
        <r>
          <rPr>
            <sz val="9"/>
            <color indexed="81"/>
            <rFont val="Tahoma"/>
            <family val="2"/>
          </rPr>
          <t xml:space="preserve">
Roughly 2,000 african riffles - military disbanded and re-constituted after 1964 coup attempt.</t>
        </r>
      </text>
    </comment>
    <comment ref="O58" authorId="0" shapeId="0">
      <text>
        <r>
          <rPr>
            <b/>
            <sz val="9"/>
            <color indexed="81"/>
            <rFont val="Tahoma"/>
            <family val="2"/>
          </rPr>
          <t>Rebecca:</t>
        </r>
        <r>
          <rPr>
            <sz val="9"/>
            <color indexed="81"/>
            <rFont val="Tahoma"/>
            <family val="2"/>
          </rPr>
          <t xml:space="preserve">
TZ SA 1959, Table U.6.</t>
        </r>
      </text>
    </comment>
    <comment ref="X58" authorId="0" shapeId="0">
      <text>
        <r>
          <rPr>
            <b/>
            <sz val="9"/>
            <color indexed="81"/>
            <rFont val="Tahoma"/>
            <family val="2"/>
          </rPr>
          <t>Rebecca:</t>
        </r>
        <r>
          <rPr>
            <sz val="9"/>
            <color indexed="81"/>
            <rFont val="Tahoma"/>
            <family val="2"/>
          </rPr>
          <t xml:space="preserve">
TZ SA 1963, Table U.6.</t>
        </r>
      </text>
    </comment>
    <comment ref="AA58" authorId="0" shapeId="0">
      <text>
        <r>
          <rPr>
            <b/>
            <sz val="9"/>
            <color indexed="81"/>
            <rFont val="Tahoma"/>
            <family val="2"/>
          </rPr>
          <t>Rebecca:</t>
        </r>
        <r>
          <rPr>
            <sz val="9"/>
            <color indexed="81"/>
            <rFont val="Tahoma"/>
            <family val="2"/>
          </rPr>
          <t xml:space="preserve">
TZ SA 1964, Table U.6.</t>
        </r>
      </text>
    </comment>
    <comment ref="AE58" authorId="0" shapeId="0">
      <text>
        <r>
          <rPr>
            <b/>
            <sz val="9"/>
            <color indexed="81"/>
            <rFont val="Tahoma"/>
            <family val="2"/>
          </rPr>
          <t>Rebecca:</t>
        </r>
        <r>
          <rPr>
            <sz val="9"/>
            <color indexed="81"/>
            <rFont val="Tahoma"/>
            <family val="2"/>
          </rPr>
          <t xml:space="preserve">
TZ SA 1970, Table U.8.</t>
        </r>
      </text>
    </comment>
    <comment ref="AH58" authorId="0" shapeId="0">
      <text>
        <r>
          <rPr>
            <b/>
            <sz val="9"/>
            <color indexed="81"/>
            <rFont val="Tahoma"/>
            <family val="2"/>
          </rPr>
          <t>Rebecca:</t>
        </r>
        <r>
          <rPr>
            <sz val="9"/>
            <color indexed="81"/>
            <rFont val="Tahoma"/>
            <family val="2"/>
          </rPr>
          <t xml:space="preserve">
TZ SA 1973, Table U.8.</t>
        </r>
      </text>
    </comment>
    <comment ref="AL58" authorId="0" shapeId="0">
      <text>
        <r>
          <rPr>
            <b/>
            <sz val="9"/>
            <color indexed="81"/>
            <rFont val="Tahoma"/>
            <family val="2"/>
          </rPr>
          <t>Rebecca:</t>
        </r>
        <r>
          <rPr>
            <sz val="9"/>
            <color indexed="81"/>
            <rFont val="Tahoma"/>
            <family val="2"/>
          </rPr>
          <t xml:space="preserve">
TZ SA 1973-79, Table U.9</t>
        </r>
      </text>
    </comment>
    <comment ref="AS58" authorId="0" shapeId="0">
      <text>
        <r>
          <rPr>
            <b/>
            <sz val="9"/>
            <color indexed="81"/>
            <rFont val="Tahoma"/>
            <family val="2"/>
          </rPr>
          <t>Rebecca:</t>
        </r>
        <r>
          <rPr>
            <sz val="9"/>
            <color indexed="81"/>
            <rFont val="Tahoma"/>
            <family val="2"/>
          </rPr>
          <t xml:space="preserve">
</t>
        </r>
      </text>
    </comment>
    <comment ref="BH58" authorId="2" shapeId="0">
      <text>
        <r>
          <rPr>
            <b/>
            <sz val="9"/>
            <color indexed="81"/>
            <rFont val="Tahoma"/>
            <family val="2"/>
          </rPr>
          <t>Administrator:</t>
        </r>
        <r>
          <rPr>
            <sz val="9"/>
            <color indexed="81"/>
            <rFont val="Tahoma"/>
            <family val="2"/>
          </rPr>
          <t xml:space="preserve">
TZ BEST 2002 and 2004</t>
        </r>
      </text>
    </comment>
    <comment ref="BK58" authorId="0" shapeId="0">
      <text>
        <r>
          <rPr>
            <b/>
            <sz val="9"/>
            <color indexed="81"/>
            <rFont val="Tahoma"/>
            <family val="2"/>
          </rPr>
          <t>Rebecca:</t>
        </r>
        <r>
          <rPr>
            <sz val="9"/>
            <color indexed="81"/>
            <rFont val="Tahoma"/>
            <family val="2"/>
          </rPr>
          <t xml:space="preserve">
According to WB PER 2000, teaching service in total was 122,215 - guess its close enough. Prob includes admin staff in teaching service as well.</t>
        </r>
      </text>
    </comment>
    <comment ref="BQ58" authorId="2" shapeId="0">
      <text>
        <r>
          <rPr>
            <b/>
            <sz val="9"/>
            <color indexed="81"/>
            <rFont val="Tahoma"/>
            <family val="2"/>
          </rPr>
          <t>Administrator:</t>
        </r>
        <r>
          <rPr>
            <sz val="9"/>
            <color indexed="81"/>
            <rFont val="Tahoma"/>
            <family val="2"/>
          </rPr>
          <t xml:space="preserve">
TZ BEST 2014, ‘Pre-primary, primary and secondary education statistics 2013', Table 1.0 and Table 2.5
(calculated by dividing enrollment by teacher:pupil ratio)</t>
        </r>
      </text>
    </comment>
    <comment ref="BH60" authorId="2" shapeId="0">
      <text>
        <r>
          <rPr>
            <b/>
            <sz val="9"/>
            <color indexed="81"/>
            <rFont val="Tahoma"/>
            <family val="2"/>
          </rPr>
          <t>Administrator:</t>
        </r>
        <r>
          <rPr>
            <sz val="9"/>
            <color indexed="81"/>
            <rFont val="Tahoma"/>
            <family val="2"/>
          </rPr>
          <t xml:space="preserve">
Had to be calculated based on PTR</t>
        </r>
      </text>
    </comment>
    <comment ref="AT70" authorId="2" shapeId="0">
      <text>
        <r>
          <rPr>
            <b/>
            <sz val="9"/>
            <color indexed="81"/>
            <rFont val="Tahoma"/>
            <family val="2"/>
          </rPr>
          <t>Administrator:</t>
        </r>
        <r>
          <rPr>
            <sz val="9"/>
            <color indexed="81"/>
            <rFont val="Tahoma"/>
            <family val="2"/>
          </rPr>
          <t xml:space="preserve">
Changed source.</t>
        </r>
      </text>
    </comment>
    <comment ref="Z73" authorId="0" shapeId="0">
      <text>
        <r>
          <rPr>
            <b/>
            <sz val="9"/>
            <color indexed="81"/>
            <rFont val="Tahoma"/>
            <family val="2"/>
          </rPr>
          <t>Rebecca:</t>
        </r>
        <r>
          <rPr>
            <sz val="9"/>
            <color indexed="81"/>
            <rFont val="Tahoma"/>
            <family val="2"/>
          </rPr>
          <t xml:space="preserve">
TZ SA 1963, Table S.15
</t>
        </r>
      </text>
    </comment>
    <comment ref="AA73" authorId="0" shapeId="0">
      <text>
        <r>
          <rPr>
            <b/>
            <sz val="9"/>
            <color indexed="81"/>
            <rFont val="Tahoma"/>
            <family val="2"/>
          </rPr>
          <t>Rebecca:</t>
        </r>
        <r>
          <rPr>
            <sz val="9"/>
            <color indexed="81"/>
            <rFont val="Tahoma"/>
            <family val="2"/>
          </rPr>
          <t xml:space="preserve">
TZ SA 1963, Table S.15
</t>
        </r>
      </text>
    </comment>
    <comment ref="AB73" authorId="0" shapeId="0">
      <text>
        <r>
          <rPr>
            <b/>
            <sz val="9"/>
            <color indexed="81"/>
            <rFont val="Tahoma"/>
            <family val="2"/>
          </rPr>
          <t>Rebecca:</t>
        </r>
        <r>
          <rPr>
            <sz val="9"/>
            <color indexed="81"/>
            <rFont val="Tahoma"/>
            <family val="2"/>
          </rPr>
          <t xml:space="preserve">
TZ SA 1964, Table S.13</t>
        </r>
      </text>
    </comment>
    <comment ref="AC73" authorId="0" shapeId="0">
      <text>
        <r>
          <rPr>
            <b/>
            <sz val="9"/>
            <color indexed="81"/>
            <rFont val="Tahoma"/>
            <family val="2"/>
          </rPr>
          <t>Rebecca:</t>
        </r>
        <r>
          <rPr>
            <sz val="9"/>
            <color indexed="81"/>
            <rFont val="Tahoma"/>
            <family val="2"/>
          </rPr>
          <t xml:space="preserve">
TZ EES 1964, Appendix II.</t>
        </r>
      </text>
    </comment>
    <comment ref="AD73" authorId="0" shapeId="0">
      <text>
        <r>
          <rPr>
            <b/>
            <sz val="9"/>
            <color indexed="81"/>
            <rFont val="Tahoma"/>
            <family val="2"/>
          </rPr>
          <t>Rebecca:</t>
        </r>
        <r>
          <rPr>
            <sz val="9"/>
            <color indexed="81"/>
            <rFont val="Tahoma"/>
            <family val="2"/>
          </rPr>
          <t xml:space="preserve">
TZ EES 1965, Appendix II.</t>
        </r>
      </text>
    </comment>
    <comment ref="AE73" authorId="0" shapeId="0">
      <text>
        <r>
          <rPr>
            <b/>
            <sz val="9"/>
            <color indexed="81"/>
            <rFont val="Tahoma"/>
            <family val="2"/>
          </rPr>
          <t>Rebecca:</t>
        </r>
        <r>
          <rPr>
            <sz val="9"/>
            <color indexed="81"/>
            <rFont val="Tahoma"/>
            <family val="2"/>
          </rPr>
          <t xml:space="preserve">
TZ EES 1966, Appendix II.</t>
        </r>
      </text>
    </comment>
    <comment ref="AF73" authorId="0" shapeId="0">
      <text>
        <r>
          <rPr>
            <b/>
            <sz val="9"/>
            <color indexed="81"/>
            <rFont val="Tahoma"/>
            <family val="2"/>
          </rPr>
          <t>Rebecca:</t>
        </r>
        <r>
          <rPr>
            <sz val="9"/>
            <color indexed="81"/>
            <rFont val="Tahoma"/>
            <family val="2"/>
          </rPr>
          <t xml:space="preserve">
TZ SA 1970, Table S.13
</t>
        </r>
      </text>
    </comment>
    <comment ref="AG73" authorId="0" shapeId="0">
      <text>
        <r>
          <rPr>
            <b/>
            <sz val="9"/>
            <color indexed="81"/>
            <rFont val="Tahoma"/>
            <family val="2"/>
          </rPr>
          <t>Rebecca:</t>
        </r>
        <r>
          <rPr>
            <sz val="9"/>
            <color indexed="81"/>
            <rFont val="Tahoma"/>
            <family val="2"/>
          </rPr>
          <t xml:space="preserve">
TZ SA 1970, Table S.13
</t>
        </r>
      </text>
    </comment>
    <comment ref="AH73" authorId="0" shapeId="0">
      <text>
        <r>
          <rPr>
            <b/>
            <sz val="9"/>
            <color indexed="81"/>
            <rFont val="Tahoma"/>
            <family val="2"/>
          </rPr>
          <t>Rebecca:</t>
        </r>
        <r>
          <rPr>
            <sz val="9"/>
            <color indexed="81"/>
            <rFont val="Tahoma"/>
            <family val="2"/>
          </rPr>
          <t xml:space="preserve">
TZ EES 1969, Appendix VI.</t>
        </r>
      </text>
    </comment>
    <comment ref="AI73" authorId="0" shapeId="0">
      <text>
        <r>
          <rPr>
            <b/>
            <sz val="9"/>
            <color indexed="81"/>
            <rFont val="Tahoma"/>
            <family val="2"/>
          </rPr>
          <t>Rebecca:</t>
        </r>
        <r>
          <rPr>
            <sz val="9"/>
            <color indexed="81"/>
            <rFont val="Tahoma"/>
            <family val="2"/>
          </rPr>
          <t xml:space="preserve">
TZ EES 1970, Table V.</t>
        </r>
      </text>
    </comment>
    <comment ref="AJ73" authorId="0" shapeId="0">
      <text>
        <r>
          <rPr>
            <b/>
            <sz val="9"/>
            <color indexed="81"/>
            <rFont val="Tahoma"/>
            <family val="2"/>
          </rPr>
          <t>Rebecca:</t>
        </r>
        <r>
          <rPr>
            <sz val="9"/>
            <color indexed="81"/>
            <rFont val="Tahoma"/>
            <family val="2"/>
          </rPr>
          <t xml:space="preserve">
TZ EES 1971, Appendix VI.</t>
        </r>
      </text>
    </comment>
    <comment ref="AK73" authorId="0" shapeId="0">
      <text>
        <r>
          <rPr>
            <b/>
            <sz val="9"/>
            <color indexed="81"/>
            <rFont val="Tahoma"/>
            <family val="2"/>
          </rPr>
          <t>Rebecca:</t>
        </r>
        <r>
          <rPr>
            <sz val="9"/>
            <color indexed="81"/>
            <rFont val="Tahoma"/>
            <family val="2"/>
          </rPr>
          <t xml:space="preserve">
TZ EES 1972, Appendix VI.</t>
        </r>
      </text>
    </comment>
    <comment ref="AL73" authorId="0" shapeId="0">
      <text>
        <r>
          <rPr>
            <b/>
            <sz val="9"/>
            <color indexed="81"/>
            <rFont val="Tahoma"/>
            <family val="2"/>
          </rPr>
          <t>Rebecca:</t>
        </r>
        <r>
          <rPr>
            <sz val="9"/>
            <color indexed="81"/>
            <rFont val="Tahoma"/>
            <family val="2"/>
          </rPr>
          <t xml:space="preserve">
TZ EES 1973-74, Appendix II &amp; IIa.</t>
        </r>
      </text>
    </comment>
    <comment ref="AM73" authorId="0" shapeId="0">
      <text>
        <r>
          <rPr>
            <b/>
            <sz val="9"/>
            <color indexed="81"/>
            <rFont val="Tahoma"/>
            <family val="2"/>
          </rPr>
          <t>Rebecca:</t>
        </r>
        <r>
          <rPr>
            <sz val="9"/>
            <color indexed="81"/>
            <rFont val="Tahoma"/>
            <family val="2"/>
          </rPr>
          <t xml:space="preserve">
TZ EES 1973-74, Appendix II &amp; IIa.</t>
        </r>
      </text>
    </comment>
    <comment ref="AN73" authorId="0" shapeId="0">
      <text>
        <r>
          <rPr>
            <b/>
            <sz val="9"/>
            <color indexed="81"/>
            <rFont val="Tahoma"/>
            <family val="2"/>
          </rPr>
          <t>Rebecca:</t>
        </r>
        <r>
          <rPr>
            <sz val="9"/>
            <color indexed="81"/>
            <rFont val="Tahoma"/>
            <family val="2"/>
          </rPr>
          <t xml:space="preserve">
TZ EES 1975-76, Appendix II &amp; IIa.</t>
        </r>
      </text>
    </comment>
    <comment ref="AO73" authorId="0" shapeId="0">
      <text>
        <r>
          <rPr>
            <b/>
            <sz val="9"/>
            <color indexed="81"/>
            <rFont val="Tahoma"/>
            <family val="2"/>
          </rPr>
          <t>Rebecca:</t>
        </r>
        <r>
          <rPr>
            <sz val="9"/>
            <color indexed="81"/>
            <rFont val="Tahoma"/>
            <family val="2"/>
          </rPr>
          <t xml:space="preserve">
TZ EES 1975-76, Appendix II &amp; IIa.</t>
        </r>
      </text>
    </comment>
    <comment ref="AS73" authorId="2" shapeId="0">
      <text>
        <r>
          <rPr>
            <b/>
            <sz val="9"/>
            <color indexed="81"/>
            <rFont val="Tahoma"/>
            <family val="2"/>
          </rPr>
          <t>Administrator:</t>
        </r>
        <r>
          <rPr>
            <sz val="9"/>
            <color indexed="81"/>
            <rFont val="Tahoma"/>
            <family val="2"/>
          </rPr>
          <t xml:space="preserve">
1980 employment and earnings survey (SOAS)
</t>
        </r>
      </text>
    </comment>
    <comment ref="AT73" authorId="2" shapeId="0">
      <text>
        <r>
          <rPr>
            <b/>
            <sz val="9"/>
            <color indexed="81"/>
            <rFont val="Tahoma"/>
            <family val="2"/>
          </rPr>
          <t>Administrator:</t>
        </r>
        <r>
          <rPr>
            <sz val="9"/>
            <color indexed="81"/>
            <rFont val="Tahoma"/>
            <family val="2"/>
          </rPr>
          <t xml:space="preserve">
TZ IMF RED 1986, Appendix II, Table VII.
(average wage earnings multiplied by total employment from above)</t>
        </r>
      </text>
    </comment>
    <comment ref="AU73" authorId="2" shapeId="0">
      <text>
        <r>
          <rPr>
            <b/>
            <sz val="9"/>
            <color indexed="81"/>
            <rFont val="Tahoma"/>
            <family val="2"/>
          </rPr>
          <t>Administrator:</t>
        </r>
        <r>
          <rPr>
            <sz val="9"/>
            <color indexed="81"/>
            <rFont val="Tahoma"/>
            <family val="2"/>
          </rPr>
          <t xml:space="preserve">
TZ IMF RED 1988, Appendix III, Table VII.
(average wage earnings multiplied by total employment from above)</t>
        </r>
      </text>
    </comment>
    <comment ref="AW73" authorId="2" shapeId="0">
      <text>
        <r>
          <rPr>
            <b/>
            <sz val="9"/>
            <color indexed="81"/>
            <rFont val="Tahoma"/>
            <family val="2"/>
          </rPr>
          <t>Administrator:</t>
        </r>
        <r>
          <rPr>
            <sz val="9"/>
            <color indexed="81"/>
            <rFont val="Tahoma"/>
            <family val="2"/>
          </rPr>
          <t xml:space="preserve">
TZ IMF SA 1992, Table 10.
(Calculated by multiplying employment by average wages)</t>
        </r>
      </text>
    </comment>
    <comment ref="BN73" authorId="2" shapeId="0">
      <text>
        <r>
          <rPr>
            <b/>
            <sz val="9"/>
            <color indexed="81"/>
            <rFont val="Tahoma"/>
            <family val="2"/>
          </rPr>
          <t>Administrator:</t>
        </r>
        <r>
          <rPr>
            <sz val="9"/>
            <color indexed="81"/>
            <rFont val="Tahoma"/>
            <family val="2"/>
          </rPr>
          <t xml:space="preserve">
TZ EES 2001</t>
        </r>
      </text>
    </comment>
    <comment ref="BO73" authorId="2" shapeId="0">
      <text>
        <r>
          <rPr>
            <b/>
            <sz val="9"/>
            <color indexed="81"/>
            <rFont val="Tahoma"/>
            <family val="2"/>
          </rPr>
          <t>Administrator:</t>
        </r>
        <r>
          <rPr>
            <sz val="9"/>
            <color indexed="81"/>
            <rFont val="Tahoma"/>
            <family val="2"/>
          </rPr>
          <t xml:space="preserve">
TZ EES 2002
</t>
        </r>
      </text>
    </comment>
    <comment ref="BR73" authorId="2" shapeId="0">
      <text>
        <r>
          <rPr>
            <b/>
            <sz val="9"/>
            <color indexed="81"/>
            <rFont val="Tahoma"/>
            <family val="2"/>
          </rPr>
          <t>Administrator:</t>
        </r>
        <r>
          <rPr>
            <sz val="9"/>
            <color indexed="81"/>
            <rFont val="Tahoma"/>
            <family val="2"/>
          </rPr>
          <t xml:space="preserve">
TZ EES 2007
</t>
        </r>
      </text>
    </comment>
    <comment ref="BS73" authorId="2" shapeId="0">
      <text>
        <r>
          <rPr>
            <b/>
            <sz val="9"/>
            <color indexed="81"/>
            <rFont val="Tahoma"/>
            <family val="2"/>
          </rPr>
          <t>Administrator:</t>
        </r>
        <r>
          <rPr>
            <sz val="9"/>
            <color indexed="81"/>
            <rFont val="Tahoma"/>
            <family val="2"/>
          </rPr>
          <t xml:space="preserve">
TZ EES 2007
</t>
        </r>
      </text>
    </comment>
    <comment ref="BT73" authorId="2" shapeId="0">
      <text>
        <r>
          <rPr>
            <b/>
            <sz val="9"/>
            <color indexed="81"/>
            <rFont val="Tahoma"/>
            <family val="2"/>
          </rPr>
          <t>Administrator:</t>
        </r>
        <r>
          <rPr>
            <sz val="9"/>
            <color indexed="81"/>
            <rFont val="Tahoma"/>
            <family val="2"/>
          </rPr>
          <t xml:space="preserve">
TZ EES 2007
</t>
        </r>
      </text>
    </comment>
    <comment ref="BX73" authorId="2" shapeId="0">
      <text>
        <r>
          <rPr>
            <b/>
            <sz val="9"/>
            <color indexed="81"/>
            <rFont val="Tahoma"/>
            <family val="2"/>
          </rPr>
          <t>Administrator:</t>
        </r>
        <r>
          <rPr>
            <sz val="9"/>
            <color indexed="81"/>
            <rFont val="Tahoma"/>
            <family val="2"/>
          </rPr>
          <t xml:space="preserve">
TZ EES 2011</t>
        </r>
      </text>
    </comment>
    <comment ref="BY73" authorId="2" shapeId="0">
      <text>
        <r>
          <rPr>
            <b/>
            <sz val="9"/>
            <color indexed="81"/>
            <rFont val="Tahoma"/>
            <family val="2"/>
          </rPr>
          <t>Administrator:</t>
        </r>
        <r>
          <rPr>
            <sz val="9"/>
            <color indexed="81"/>
            <rFont val="Tahoma"/>
            <family val="2"/>
          </rPr>
          <t xml:space="preserve">
TZ EES 2013
</t>
        </r>
      </text>
    </comment>
    <comment ref="BZ73" authorId="2" shapeId="0">
      <text>
        <r>
          <rPr>
            <b/>
            <sz val="9"/>
            <color indexed="81"/>
            <rFont val="Tahoma"/>
            <family val="2"/>
          </rPr>
          <t>Administrator:</t>
        </r>
        <r>
          <rPr>
            <sz val="9"/>
            <color indexed="81"/>
            <rFont val="Tahoma"/>
            <family val="2"/>
          </rPr>
          <t xml:space="preserve">
TZ EES 2013
</t>
        </r>
      </text>
    </comment>
    <comment ref="CA73" authorId="2" shapeId="0">
      <text>
        <r>
          <rPr>
            <b/>
            <sz val="9"/>
            <color indexed="81"/>
            <rFont val="Tahoma"/>
            <family val="2"/>
          </rPr>
          <t>Administrator:</t>
        </r>
        <r>
          <rPr>
            <sz val="9"/>
            <color indexed="81"/>
            <rFont val="Tahoma"/>
            <family val="2"/>
          </rPr>
          <t xml:space="preserve">
TZ EES 2014</t>
        </r>
      </text>
    </comment>
    <comment ref="AH74" authorId="0" shapeId="0">
      <text>
        <r>
          <rPr>
            <b/>
            <sz val="9"/>
            <color indexed="81"/>
            <rFont val="Tahoma"/>
            <family val="2"/>
          </rPr>
          <t>Rebecca:</t>
        </r>
        <r>
          <rPr>
            <sz val="9"/>
            <color indexed="81"/>
            <rFont val="Tahoma"/>
            <family val="2"/>
          </rPr>
          <t xml:space="preserve">
Starts to exclude parastatal wages here!</t>
        </r>
      </text>
    </comment>
    <comment ref="BX74" authorId="2" shapeId="0">
      <text>
        <r>
          <rPr>
            <b/>
            <sz val="9"/>
            <color indexed="81"/>
            <rFont val="Tahoma"/>
            <family val="2"/>
          </rPr>
          <t>Administrator:</t>
        </r>
        <r>
          <rPr>
            <sz val="9"/>
            <color indexed="81"/>
            <rFont val="Tahoma"/>
            <family val="2"/>
          </rPr>
          <t xml:space="preserve">
millions of shillings
</t>
        </r>
      </text>
    </comment>
    <comment ref="R75" authorId="0" shapeId="0">
      <text>
        <r>
          <rPr>
            <b/>
            <sz val="9"/>
            <color indexed="81"/>
            <rFont val="Tahoma"/>
            <family val="2"/>
          </rPr>
          <t>Rebecca:</t>
        </r>
        <r>
          <rPr>
            <sz val="9"/>
            <color indexed="81"/>
            <rFont val="Tahoma"/>
            <family val="2"/>
          </rPr>
          <t xml:space="preserve">
TZ SA 1958, Table Q.6
(monthly value multiplied by 12)</t>
        </r>
      </text>
    </comment>
    <comment ref="W75" authorId="0" shapeId="0">
      <text>
        <r>
          <rPr>
            <b/>
            <sz val="9"/>
            <color indexed="81"/>
            <rFont val="Tahoma"/>
            <family val="2"/>
          </rPr>
          <t>Rebecca:</t>
        </r>
        <r>
          <rPr>
            <sz val="9"/>
            <color indexed="81"/>
            <rFont val="Tahoma"/>
            <family val="2"/>
          </rPr>
          <t xml:space="preserve">
TZ SA 1960, Table S.9
</t>
        </r>
      </text>
    </comment>
    <comment ref="AB75" authorId="0" shapeId="0">
      <text>
        <r>
          <rPr>
            <b/>
            <sz val="9"/>
            <color indexed="81"/>
            <rFont val="Tahoma"/>
            <family val="2"/>
          </rPr>
          <t>Rebecca:</t>
        </r>
        <r>
          <rPr>
            <sz val="9"/>
            <color indexed="81"/>
            <rFont val="Tahoma"/>
            <family val="2"/>
          </rPr>
          <t xml:space="preserve">
TZ EES 1963, Table XIII</t>
        </r>
      </text>
    </comment>
    <comment ref="AM78" authorId="2" shapeId="0">
      <text>
        <r>
          <rPr>
            <b/>
            <sz val="9"/>
            <color indexed="81"/>
            <rFont val="Tahoma"/>
            <family val="2"/>
          </rPr>
          <t>Administrator:</t>
        </r>
        <r>
          <rPr>
            <sz val="9"/>
            <color indexed="81"/>
            <rFont val="Tahoma"/>
            <family val="2"/>
          </rPr>
          <t xml:space="preserve">
huge wage increase - wages and salaries general revision act of 1974</t>
        </r>
      </text>
    </comment>
    <comment ref="R79" authorId="0" shapeId="0">
      <text>
        <r>
          <rPr>
            <b/>
            <sz val="9"/>
            <color indexed="81"/>
            <rFont val="Tahoma"/>
            <family val="2"/>
          </rPr>
          <t>Rebecca:</t>
        </r>
        <r>
          <rPr>
            <sz val="9"/>
            <color indexed="81"/>
            <rFont val="Tahoma"/>
            <family val="2"/>
          </rPr>
          <t xml:space="preserve">
TZ SA 1958, Table Q.6
(males only, monthly value multiplied by 12)</t>
        </r>
      </text>
    </comment>
    <comment ref="W79" authorId="0" shapeId="0">
      <text>
        <r>
          <rPr>
            <b/>
            <sz val="9"/>
            <color indexed="81"/>
            <rFont val="Tahoma"/>
            <family val="2"/>
          </rPr>
          <t>Rebecca:</t>
        </r>
        <r>
          <rPr>
            <sz val="9"/>
            <color indexed="81"/>
            <rFont val="Tahoma"/>
            <family val="2"/>
          </rPr>
          <t xml:space="preserve">
TZ SA 1960, Table S.9
</t>
        </r>
      </text>
    </comment>
    <comment ref="Y79" authorId="0" shapeId="0">
      <text>
        <r>
          <rPr>
            <b/>
            <sz val="9"/>
            <color indexed="81"/>
            <rFont val="Tahoma"/>
            <family val="2"/>
          </rPr>
          <t>Rebecca:</t>
        </r>
        <r>
          <rPr>
            <sz val="9"/>
            <color indexed="81"/>
            <rFont val="Tahoma"/>
            <family val="2"/>
          </rPr>
          <t xml:space="preserve">
TZ SA 1961, Table S.9
</t>
        </r>
      </text>
    </comment>
    <comment ref="AB79" authorId="0" shapeId="0">
      <text>
        <r>
          <rPr>
            <b/>
            <sz val="9"/>
            <color indexed="81"/>
            <rFont val="Tahoma"/>
            <family val="2"/>
          </rPr>
          <t>Rebecca:</t>
        </r>
        <r>
          <rPr>
            <sz val="9"/>
            <color indexed="81"/>
            <rFont val="Tahoma"/>
            <family val="2"/>
          </rPr>
          <t xml:space="preserve">
TZ EES 1963, Table XIII</t>
        </r>
      </text>
    </comment>
    <comment ref="Z80" authorId="0" shapeId="0">
      <text>
        <r>
          <rPr>
            <b/>
            <sz val="9"/>
            <color indexed="81"/>
            <rFont val="Tahoma"/>
            <family val="2"/>
          </rPr>
          <t>Rebecca:</t>
        </r>
        <r>
          <rPr>
            <sz val="9"/>
            <color indexed="81"/>
            <rFont val="Tahoma"/>
            <family val="2"/>
          </rPr>
          <t xml:space="preserve">
Male, non-African only.</t>
        </r>
      </text>
    </comment>
    <comment ref="BN84" authorId="2" shapeId="0">
      <text>
        <r>
          <rPr>
            <b/>
            <sz val="9"/>
            <color indexed="81"/>
            <rFont val="Tahoma"/>
            <family val="2"/>
          </rPr>
          <t>Administrator:</t>
        </r>
        <r>
          <rPr>
            <sz val="9"/>
            <color indexed="81"/>
            <rFont val="Tahoma"/>
            <family val="2"/>
          </rPr>
          <t xml:space="preserve">
2001 empl and earnings survey - govt sector. Excl. parastatals/ TShs million. (Ave roughly 180,000 per month)</t>
        </r>
      </text>
    </comment>
    <comment ref="BO84" authorId="2" shapeId="0">
      <text>
        <r>
          <rPr>
            <b/>
            <sz val="9"/>
            <color indexed="81"/>
            <rFont val="Tahoma"/>
            <family val="2"/>
          </rPr>
          <t>Administrator:</t>
        </r>
        <r>
          <rPr>
            <sz val="9"/>
            <color indexed="81"/>
            <rFont val="Tahoma"/>
            <family val="2"/>
          </rPr>
          <t xml:space="preserve">
Makes no sense that this would fall...</t>
        </r>
      </text>
    </comment>
    <comment ref="BR89" authorId="2" shapeId="0">
      <text>
        <r>
          <rPr>
            <b/>
            <sz val="9"/>
            <color indexed="81"/>
            <rFont val="Tahoma"/>
            <family val="2"/>
          </rPr>
          <t>Administrator:</t>
        </r>
        <r>
          <rPr>
            <sz val="9"/>
            <color indexed="81"/>
            <rFont val="Tahoma"/>
            <family val="2"/>
          </rPr>
          <t xml:space="preserve">
for profit and the non profit institutions.
</t>
        </r>
      </text>
    </comment>
    <comment ref="BR91" authorId="2" shapeId="0">
      <text>
        <r>
          <rPr>
            <b/>
            <sz val="9"/>
            <color indexed="81"/>
            <rFont val="Tahoma"/>
            <family val="2"/>
          </rPr>
          <t>Administrator:</t>
        </r>
        <r>
          <rPr>
            <sz val="9"/>
            <color indexed="81"/>
            <rFont val="Tahoma"/>
            <family val="2"/>
          </rPr>
          <t xml:space="preserve">
In EES, this category is added to private sector.</t>
        </r>
      </text>
    </comment>
    <comment ref="AN100" authorId="2" shapeId="0">
      <text>
        <r>
          <rPr>
            <b/>
            <sz val="9"/>
            <color indexed="81"/>
            <rFont val="Tahoma"/>
            <family val="2"/>
          </rPr>
          <t>Administrator:</t>
        </r>
        <r>
          <rPr>
            <sz val="9"/>
            <color indexed="81"/>
            <rFont val="Tahoma"/>
            <family val="2"/>
          </rPr>
          <t xml:space="preserve">
TZ IMF RED 1982, Table 11</t>
        </r>
      </text>
    </comment>
    <comment ref="AR100" authorId="2" shapeId="0">
      <text>
        <r>
          <rPr>
            <b/>
            <sz val="9"/>
            <color indexed="81"/>
            <rFont val="Tahoma"/>
            <family val="2"/>
          </rPr>
          <t>Administrator:</t>
        </r>
        <r>
          <rPr>
            <sz val="9"/>
            <color indexed="81"/>
            <rFont val="Tahoma"/>
            <family val="2"/>
          </rPr>
          <t xml:space="preserve">
TZ IMF RED 1984, Appendix II, Table VII</t>
        </r>
      </text>
    </comment>
    <comment ref="AW100" authorId="2" shapeId="0">
      <text>
        <r>
          <rPr>
            <b/>
            <sz val="9"/>
            <color indexed="81"/>
            <rFont val="Tahoma"/>
            <family val="2"/>
          </rPr>
          <t>Administrator:</t>
        </r>
        <r>
          <rPr>
            <sz val="9"/>
            <color indexed="81"/>
            <rFont val="Tahoma"/>
            <family val="2"/>
          </rPr>
          <t xml:space="preserve">
TZ IMF RED 1991, Appendix III, Table V,
or TZ IMF SA 1992, Table 10.</t>
        </r>
      </text>
    </comment>
    <comment ref="R101" authorId="0" shapeId="0">
      <text>
        <r>
          <rPr>
            <b/>
            <sz val="9"/>
            <color indexed="81"/>
            <rFont val="Tahoma"/>
            <family val="2"/>
          </rPr>
          <t>Rebecca:</t>
        </r>
        <r>
          <rPr>
            <sz val="9"/>
            <color indexed="81"/>
            <rFont val="Tahoma"/>
            <family val="2"/>
          </rPr>
          <t xml:space="preserve">
Calculated from above.</t>
        </r>
      </text>
    </comment>
    <comment ref="AA101" authorId="0" shapeId="0">
      <text>
        <r>
          <rPr>
            <b/>
            <sz val="9"/>
            <color indexed="81"/>
            <rFont val="Tahoma"/>
            <family val="2"/>
          </rPr>
          <t>Rebecca:</t>
        </r>
        <r>
          <rPr>
            <sz val="9"/>
            <color indexed="81"/>
            <rFont val="Tahoma"/>
            <family val="2"/>
          </rPr>
          <t xml:space="preserve">
TZ EES 1962, Appendix 6.</t>
        </r>
      </text>
    </comment>
    <comment ref="AB101" authorId="0" shapeId="0">
      <text>
        <r>
          <rPr>
            <b/>
            <sz val="9"/>
            <color indexed="81"/>
            <rFont val="Tahoma"/>
            <family val="2"/>
          </rPr>
          <t>Rebecca:</t>
        </r>
        <r>
          <rPr>
            <sz val="9"/>
            <color indexed="81"/>
            <rFont val="Tahoma"/>
            <family val="2"/>
          </rPr>
          <t xml:space="preserve">
TZ EES 1963, Appendix VI.</t>
        </r>
      </text>
    </comment>
    <comment ref="AC101" authorId="0" shapeId="0">
      <text>
        <r>
          <rPr>
            <b/>
            <sz val="9"/>
            <color indexed="81"/>
            <rFont val="Tahoma"/>
            <family val="2"/>
          </rPr>
          <t>Rebecca:</t>
        </r>
        <r>
          <rPr>
            <sz val="9"/>
            <color indexed="81"/>
            <rFont val="Tahoma"/>
            <family val="2"/>
          </rPr>
          <t xml:space="preserve">
TZ EES 1964, Appendix VI.</t>
        </r>
      </text>
    </comment>
    <comment ref="AD101" authorId="0" shapeId="0">
      <text>
        <r>
          <rPr>
            <b/>
            <sz val="9"/>
            <color indexed="81"/>
            <rFont val="Tahoma"/>
            <family val="2"/>
          </rPr>
          <t>Rebecca:</t>
        </r>
        <r>
          <rPr>
            <sz val="9"/>
            <color indexed="81"/>
            <rFont val="Tahoma"/>
            <family val="2"/>
          </rPr>
          <t xml:space="preserve">
TZ EES 1965, Appendix VII.</t>
        </r>
      </text>
    </comment>
    <comment ref="AE101" authorId="0" shapeId="0">
      <text>
        <r>
          <rPr>
            <b/>
            <sz val="9"/>
            <color indexed="81"/>
            <rFont val="Tahoma"/>
            <family val="2"/>
          </rPr>
          <t>Rebecca:</t>
        </r>
        <r>
          <rPr>
            <sz val="9"/>
            <color indexed="81"/>
            <rFont val="Tahoma"/>
            <family val="2"/>
          </rPr>
          <t xml:space="preserve">
TZ EES 1969, Table 12.</t>
        </r>
      </text>
    </comment>
    <comment ref="AI101" authorId="0" shapeId="0">
      <text>
        <r>
          <rPr>
            <b/>
            <sz val="9"/>
            <color indexed="81"/>
            <rFont val="Tahoma"/>
            <family val="2"/>
          </rPr>
          <t>Rebecca:</t>
        </r>
        <r>
          <rPr>
            <sz val="9"/>
            <color indexed="81"/>
            <rFont val="Tahoma"/>
            <family val="2"/>
          </rPr>
          <t xml:space="preserve">
TZ EES 1972, Table 14.</t>
        </r>
      </text>
    </comment>
    <comment ref="AK101" authorId="0" shapeId="0">
      <text>
        <r>
          <rPr>
            <b/>
            <sz val="9"/>
            <color indexed="81"/>
            <rFont val="Tahoma"/>
            <family val="2"/>
          </rPr>
          <t>Rebecca:</t>
        </r>
        <r>
          <rPr>
            <sz val="9"/>
            <color indexed="81"/>
            <rFont val="Tahoma"/>
            <family val="2"/>
          </rPr>
          <t xml:space="preserve">
TZ EES 1973-74, Table 16.</t>
        </r>
      </text>
    </comment>
    <comment ref="AM101" authorId="0" shapeId="0">
      <text>
        <r>
          <rPr>
            <b/>
            <sz val="9"/>
            <color indexed="81"/>
            <rFont val="Tahoma"/>
            <family val="2"/>
          </rPr>
          <t>Rebecca:</t>
        </r>
        <r>
          <rPr>
            <sz val="9"/>
            <color indexed="81"/>
            <rFont val="Tahoma"/>
            <family val="2"/>
          </rPr>
          <t xml:space="preserve">
TZ EES 1975-76, Table 16.</t>
        </r>
      </text>
    </comment>
    <comment ref="AP101" authorId="0" shapeId="0">
      <text>
        <r>
          <rPr>
            <b/>
            <sz val="9"/>
            <color indexed="81"/>
            <rFont val="Tahoma"/>
            <family val="2"/>
          </rPr>
          <t>Rebecca:</t>
        </r>
        <r>
          <rPr>
            <sz val="9"/>
            <color indexed="81"/>
            <rFont val="Tahoma"/>
            <family val="2"/>
          </rPr>
          <t xml:space="preserve">
TZ SA 1973-79, Table s.12</t>
        </r>
      </text>
    </comment>
    <comment ref="AR101" authorId="0" shapeId="0">
      <text>
        <r>
          <rPr>
            <b/>
            <sz val="9"/>
            <color indexed="81"/>
            <rFont val="Tahoma"/>
            <family val="2"/>
          </rPr>
          <t>Rebecca:</t>
        </r>
        <r>
          <rPr>
            <sz val="9"/>
            <color indexed="81"/>
            <rFont val="Tahoma"/>
            <family val="2"/>
          </rPr>
          <t xml:space="preserve">
TZ EES 1979-80, Table 16.</t>
        </r>
      </text>
    </comment>
    <comment ref="AC104" authorId="0" shapeId="0">
      <text>
        <r>
          <rPr>
            <b/>
            <sz val="9"/>
            <color indexed="81"/>
            <rFont val="Tahoma"/>
            <family val="2"/>
          </rPr>
          <t>Rebecca:</t>
        </r>
        <r>
          <rPr>
            <sz val="9"/>
            <color indexed="81"/>
            <rFont val="Tahoma"/>
            <family val="2"/>
          </rPr>
          <t xml:space="preserve">
TZ SA 1970, Table P.4
(wages and allowances)</t>
        </r>
      </text>
    </comment>
    <comment ref="AJ104" authorId="0" shapeId="0">
      <text>
        <r>
          <rPr>
            <b/>
            <sz val="9"/>
            <color indexed="81"/>
            <rFont val="Tahoma"/>
            <family val="2"/>
          </rPr>
          <t>Rebecca:</t>
        </r>
        <r>
          <rPr>
            <sz val="9"/>
            <color indexed="81"/>
            <rFont val="Tahoma"/>
            <family val="2"/>
          </rPr>
          <t xml:space="preserve">
TZ SA 1973, Table P.4 
(wages and allowances)</t>
        </r>
      </text>
    </comment>
    <comment ref="AM104" authorId="0" shapeId="0">
      <text>
        <r>
          <rPr>
            <b/>
            <sz val="9"/>
            <color indexed="81"/>
            <rFont val="Tahoma"/>
            <family val="2"/>
          </rPr>
          <t>Rebecca:</t>
        </r>
        <r>
          <rPr>
            <sz val="9"/>
            <color indexed="81"/>
            <rFont val="Tahoma"/>
            <family val="2"/>
          </rPr>
          <t xml:space="preserve">
TZ SA 1973-79, Table P.4</t>
        </r>
      </text>
    </comment>
    <comment ref="AS104" authorId="2" shapeId="0">
      <text>
        <r>
          <rPr>
            <b/>
            <sz val="9"/>
            <color indexed="81"/>
            <rFont val="Tahoma"/>
            <family val="2"/>
          </rPr>
          <t>Administrator:</t>
        </r>
        <r>
          <rPr>
            <sz val="9"/>
            <color indexed="81"/>
            <rFont val="Tahoma"/>
            <family val="2"/>
          </rPr>
          <t xml:space="preserve">
TZ IMF RED 1984, Table 8.</t>
        </r>
      </text>
    </comment>
    <comment ref="AV104" authorId="0" shapeId="0">
      <text>
        <r>
          <rPr>
            <b/>
            <sz val="9"/>
            <color indexed="81"/>
            <rFont val="Tahoma"/>
            <family val="2"/>
          </rPr>
          <t>Rebecca:</t>
        </r>
        <r>
          <rPr>
            <sz val="9"/>
            <color indexed="81"/>
            <rFont val="Tahoma"/>
            <family val="2"/>
          </rPr>
          <t xml:space="preserve">
Revised estimates</t>
        </r>
      </text>
    </comment>
    <comment ref="AW104" authorId="2" shapeId="0">
      <text>
        <r>
          <rPr>
            <b/>
            <sz val="9"/>
            <color indexed="81"/>
            <rFont val="Tahoma"/>
            <family val="2"/>
          </rPr>
          <t>Administrator:</t>
        </r>
        <r>
          <rPr>
            <sz val="9"/>
            <color indexed="81"/>
            <rFont val="Tahoma"/>
            <family val="2"/>
          </rPr>
          <t xml:space="preserve">
TZ IMF RED 1988, Table 11.</t>
        </r>
      </text>
    </comment>
    <comment ref="AY104" authorId="2" shapeId="0">
      <text>
        <r>
          <rPr>
            <b/>
            <sz val="9"/>
            <color indexed="81"/>
            <rFont val="Tahoma"/>
            <family val="2"/>
          </rPr>
          <t>Administrator:</t>
        </r>
        <r>
          <rPr>
            <sz val="9"/>
            <color indexed="81"/>
            <rFont val="Tahoma"/>
            <family val="2"/>
          </rPr>
          <t xml:space="preserve">
TZ IMF RED 1991, Table VII.</t>
        </r>
      </text>
    </comment>
    <comment ref="BB104" authorId="2" shapeId="0">
      <text>
        <r>
          <rPr>
            <b/>
            <sz val="9"/>
            <color indexed="81"/>
            <rFont val="Tahoma"/>
            <family val="2"/>
          </rPr>
          <t>Administrator:</t>
        </r>
        <r>
          <rPr>
            <sz val="9"/>
            <color indexed="81"/>
            <rFont val="Tahoma"/>
            <family val="2"/>
          </rPr>
          <t xml:space="preserve">
TZ IMF RED 1994, Table IX.</t>
        </r>
      </text>
    </comment>
    <comment ref="BG104" authorId="2" shapeId="0">
      <text>
        <r>
          <rPr>
            <b/>
            <sz val="9"/>
            <color indexed="81"/>
            <rFont val="Tahoma"/>
            <family val="2"/>
          </rPr>
          <t>Administrator:</t>
        </r>
        <r>
          <rPr>
            <sz val="9"/>
            <color indexed="81"/>
            <rFont val="Tahoma"/>
            <family val="2"/>
          </rPr>
          <t xml:space="preserve">
TZ IMF SA 2000, Table 10.</t>
        </r>
      </text>
    </comment>
    <comment ref="BK104" authorId="2" shapeId="0">
      <text>
        <r>
          <rPr>
            <b/>
            <sz val="9"/>
            <color indexed="81"/>
            <rFont val="Tahoma"/>
            <family val="2"/>
          </rPr>
          <t>Administrator:</t>
        </r>
        <r>
          <rPr>
            <sz val="9"/>
            <color indexed="81"/>
            <rFont val="Tahoma"/>
            <family val="2"/>
          </rPr>
          <t xml:space="preserve">
TZ IMF SA 2002, Table 11.</t>
        </r>
      </text>
    </comment>
    <comment ref="BO104" authorId="2" shapeId="0">
      <text>
        <r>
          <rPr>
            <b/>
            <sz val="9"/>
            <color indexed="81"/>
            <rFont val="Tahoma"/>
            <family val="2"/>
          </rPr>
          <t>Administrator:</t>
        </r>
        <r>
          <rPr>
            <sz val="9"/>
            <color indexed="81"/>
            <rFont val="Tahoma"/>
            <family val="2"/>
          </rPr>
          <t xml:space="preserve">
TZ IMF SA 2004, Table 11.</t>
        </r>
      </text>
    </comment>
    <comment ref="BS104" authorId="2" shapeId="0">
      <text>
        <r>
          <rPr>
            <b/>
            <sz val="9"/>
            <color indexed="81"/>
            <rFont val="Tahoma"/>
            <family val="2"/>
          </rPr>
          <t>Administrator:</t>
        </r>
        <r>
          <rPr>
            <sz val="9"/>
            <color indexed="81"/>
            <rFont val="Tahoma"/>
            <family val="2"/>
          </rPr>
          <t xml:space="preserve">
TZ IMF ARTICLE IV, 2007, Table 3.</t>
        </r>
      </text>
    </comment>
    <comment ref="BU104" authorId="2" shapeId="0">
      <text>
        <r>
          <rPr>
            <b/>
            <sz val="9"/>
            <color indexed="81"/>
            <rFont val="Tahoma"/>
            <family val="2"/>
          </rPr>
          <t>Administrator:</t>
        </r>
        <r>
          <rPr>
            <sz val="9"/>
            <color indexed="81"/>
            <rFont val="Tahoma"/>
            <family val="2"/>
          </rPr>
          <t xml:space="preserve">
TZ IMF ARTICLE IV, 2009, Table 3.</t>
        </r>
      </text>
    </comment>
    <comment ref="BV104" authorId="2" shapeId="0">
      <text>
        <r>
          <rPr>
            <b/>
            <sz val="9"/>
            <color indexed="81"/>
            <rFont val="Tahoma"/>
            <family val="2"/>
          </rPr>
          <t>Administrator:</t>
        </r>
        <r>
          <rPr>
            <sz val="9"/>
            <color indexed="81"/>
            <rFont val="Tahoma"/>
            <family val="2"/>
          </rPr>
          <t xml:space="preserve">
TZ IMF ARTICLE IV, 2011, Table 2a</t>
        </r>
      </text>
    </comment>
    <comment ref="BL106" authorId="2" shapeId="0">
      <text>
        <r>
          <rPr>
            <b/>
            <sz val="9"/>
            <color indexed="81"/>
            <rFont val="Tahoma"/>
            <family val="2"/>
          </rPr>
          <t>Administrator:</t>
        </r>
        <r>
          <rPr>
            <sz val="9"/>
            <color indexed="81"/>
            <rFont val="Tahoma"/>
            <family val="2"/>
          </rPr>
          <t xml:space="preserve">
TZ WB PER 2002, Table 
12a.
Incl. local and regional govt
</t>
        </r>
      </text>
    </comment>
    <comment ref="AN107" authorId="2" shapeId="0">
      <text>
        <r>
          <rPr>
            <b/>
            <sz val="9"/>
            <color indexed="81"/>
            <rFont val="Tahoma"/>
            <family val="2"/>
          </rPr>
          <t>Administrator:</t>
        </r>
        <r>
          <rPr>
            <sz val="9"/>
            <color indexed="81"/>
            <rFont val="Tahoma"/>
            <family val="2"/>
          </rPr>
          <t xml:space="preserve">
TZ WB PER 1989, Appendix III, Table B.10</t>
        </r>
      </text>
    </comment>
    <comment ref="AO108" authorId="2" shapeId="0">
      <text>
        <r>
          <rPr>
            <b/>
            <sz val="9"/>
            <color indexed="81"/>
            <rFont val="Tahoma"/>
            <family val="2"/>
          </rPr>
          <t>Administrator:</t>
        </r>
        <r>
          <rPr>
            <sz val="9"/>
            <color indexed="81"/>
            <rFont val="Tahoma"/>
            <family val="2"/>
          </rPr>
          <t xml:space="preserve">
TZ WB PER 1989, Appendix III, Table B.24</t>
        </r>
      </text>
    </comment>
    <comment ref="AV108" authorId="2" shapeId="0">
      <text>
        <r>
          <rPr>
            <b/>
            <sz val="9"/>
            <color indexed="81"/>
            <rFont val="Tahoma"/>
            <family val="2"/>
          </rPr>
          <t>Administrator:</t>
        </r>
        <r>
          <rPr>
            <sz val="9"/>
            <color indexed="81"/>
            <rFont val="Tahoma"/>
            <family val="2"/>
          </rPr>
          <t xml:space="preserve">
Think LGs re-established around here</t>
        </r>
      </text>
    </comment>
    <comment ref="L111" authorId="0" shapeId="0">
      <text>
        <r>
          <rPr>
            <b/>
            <sz val="9"/>
            <color indexed="81"/>
            <rFont val="Tahoma"/>
            <family val="2"/>
          </rPr>
          <t>Rebecca:</t>
        </r>
        <r>
          <rPr>
            <sz val="9"/>
            <color indexed="81"/>
            <rFont val="Tahoma"/>
            <family val="2"/>
          </rPr>
          <t xml:space="preserve">
TZ SA 1938-52, Table 107. Dar es Salaam cost of living index (excl. rent)</t>
        </r>
      </text>
    </comment>
    <comment ref="U111" authorId="0" shapeId="0">
      <text>
        <r>
          <rPr>
            <b/>
            <sz val="9"/>
            <color indexed="81"/>
            <rFont val="Tahoma"/>
            <family val="2"/>
          </rPr>
          <t>Rebecca:</t>
        </r>
        <r>
          <rPr>
            <sz val="9"/>
            <color indexed="81"/>
            <rFont val="Tahoma"/>
            <family val="2"/>
          </rPr>
          <t xml:space="preserve">
TZ SA 1962, Table R.1, (smoothed trend, Jan), Retail price index of goods consumed by wage earners, Dar es Salaam</t>
        </r>
      </text>
    </comment>
    <comment ref="Y111" authorId="2" shapeId="0">
      <text>
        <r>
          <rPr>
            <b/>
            <sz val="9"/>
            <color indexed="81"/>
            <rFont val="Tahoma"/>
            <family val="2"/>
          </rPr>
          <t>Administrator:</t>
        </r>
        <r>
          <rPr>
            <sz val="9"/>
            <color indexed="81"/>
            <rFont val="Tahoma"/>
            <family val="2"/>
          </rPr>
          <t xml:space="preserve">
Dar es Salaam cost of living index</t>
        </r>
      </text>
    </comment>
    <comment ref="AA111" authorId="0" shapeId="0">
      <text>
        <r>
          <rPr>
            <b/>
            <sz val="9"/>
            <color indexed="81"/>
            <rFont val="Tahoma"/>
            <family val="2"/>
          </rPr>
          <t>Rebecca:</t>
        </r>
        <r>
          <rPr>
            <sz val="9"/>
            <color indexed="81"/>
            <rFont val="Tahoma"/>
            <family val="2"/>
          </rPr>
          <t xml:space="preserve">
TZ SA 1970, Table R.1</t>
        </r>
      </text>
    </comment>
    <comment ref="AE111" authorId="2" shapeId="0">
      <text>
        <r>
          <rPr>
            <b/>
            <sz val="9"/>
            <color indexed="81"/>
            <rFont val="Tahoma"/>
            <family val="2"/>
          </rPr>
          <t>Administrator:</t>
        </r>
        <r>
          <rPr>
            <sz val="9"/>
            <color indexed="81"/>
            <rFont val="Tahoma"/>
            <family val="2"/>
          </rPr>
          <t xml:space="preserve">
WB WDI, CPI</t>
        </r>
      </text>
    </comment>
    <comment ref="AW115" authorId="0" shapeId="0">
      <text>
        <r>
          <rPr>
            <b/>
            <sz val="9"/>
            <color indexed="81"/>
            <rFont val="Tahoma"/>
            <family val="2"/>
          </rPr>
          <t>Rebecca:</t>
        </r>
        <r>
          <rPr>
            <sz val="9"/>
            <color indexed="81"/>
            <rFont val="Tahoma"/>
            <family val="2"/>
          </rPr>
          <t xml:space="preserve">
LG elections held in 83 and LGs reinstated in 84. Seems LGs (districts) could raise some resources locally, although hard to know how much this was. Pressumably very reliant on transfers from centre.</t>
        </r>
      </text>
    </comment>
    <comment ref="C118" authorId="2" shapeId="0">
      <text>
        <r>
          <rPr>
            <b/>
            <sz val="9"/>
            <color indexed="81"/>
            <rFont val="Tahoma"/>
            <family val="2"/>
          </rPr>
          <t>Administrator:</t>
        </r>
        <r>
          <rPr>
            <sz val="9"/>
            <color indexed="81"/>
            <rFont val="Tahoma"/>
            <family val="2"/>
          </rPr>
          <t xml:space="preserve">
Excl. grants but including appropriations in aid</t>
        </r>
      </text>
    </comment>
    <comment ref="L118" authorId="2" shapeId="0">
      <text>
        <r>
          <rPr>
            <b/>
            <sz val="9"/>
            <color indexed="81"/>
            <rFont val="Tahoma"/>
            <family val="2"/>
          </rPr>
          <t>Administrator:</t>
        </r>
        <r>
          <rPr>
            <sz val="9"/>
            <color indexed="81"/>
            <rFont val="Tahoma"/>
            <family val="2"/>
          </rPr>
          <t xml:space="preserve">
Assumed at 1.2x recurrent receipts (to account for missing departmental earnings)</t>
        </r>
      </text>
    </comment>
    <comment ref="T118" authorId="2" shapeId="0">
      <text>
        <r>
          <rPr>
            <b/>
            <sz val="9"/>
            <color indexed="81"/>
            <rFont val="Tahoma"/>
            <family val="2"/>
          </rPr>
          <t>Administrator:</t>
        </r>
        <r>
          <rPr>
            <sz val="9"/>
            <color indexed="81"/>
            <rFont val="Tahoma"/>
            <family val="2"/>
          </rPr>
          <t xml:space="preserve">
Assumed at 1.2x recurrent receipts (to account for missing departmental earnings)</t>
        </r>
      </text>
    </comment>
    <comment ref="AC118" authorId="2" shapeId="0">
      <text>
        <r>
          <rPr>
            <b/>
            <sz val="9"/>
            <color indexed="81"/>
            <rFont val="Tahoma"/>
            <family val="2"/>
          </rPr>
          <t>Administrator:</t>
        </r>
        <r>
          <rPr>
            <sz val="9"/>
            <color indexed="81"/>
            <rFont val="Tahoma"/>
            <family val="2"/>
          </rPr>
          <t xml:space="preserve">
TZ IMF ARTICLE IV, 1968, Part II Appendix, Table X.
Break in series, estimates prior to this year do not appear to capture all reimbursements and appropriations-in-aid.</t>
        </r>
      </text>
    </comment>
    <comment ref="AG118" authorId="2" shapeId="0">
      <text>
        <r>
          <rPr>
            <b/>
            <sz val="9"/>
            <color indexed="81"/>
            <rFont val="Tahoma"/>
            <family val="2"/>
          </rPr>
          <t>Administrator:</t>
        </r>
        <r>
          <rPr>
            <sz val="9"/>
            <color indexed="81"/>
            <rFont val="Tahoma"/>
            <family val="2"/>
          </rPr>
          <t xml:space="preserve">
TZ IMF RED 1972, Table XIII.</t>
        </r>
      </text>
    </comment>
    <comment ref="AK118" authorId="2" shapeId="0">
      <text>
        <r>
          <rPr>
            <b/>
            <sz val="9"/>
            <color indexed="81"/>
            <rFont val="Tahoma"/>
            <family val="2"/>
          </rPr>
          <t>Administrator:</t>
        </r>
        <r>
          <rPr>
            <sz val="9"/>
            <color indexed="81"/>
            <rFont val="Tahoma"/>
            <family val="2"/>
          </rPr>
          <t xml:space="preserve">
</t>
        </r>
      </text>
    </comment>
    <comment ref="AL118" authorId="2" shapeId="0">
      <text>
        <r>
          <rPr>
            <b/>
            <sz val="9"/>
            <color indexed="81"/>
            <rFont val="Tahoma"/>
            <family val="2"/>
          </rPr>
          <t>Administrator:</t>
        </r>
        <r>
          <rPr>
            <sz val="9"/>
            <color indexed="81"/>
            <rFont val="Tahoma"/>
            <family val="2"/>
          </rPr>
          <t xml:space="preserve">
TZ IMF RED 1976, Table 9.</t>
        </r>
      </text>
    </comment>
    <comment ref="AN118" authorId="2" shapeId="0">
      <text>
        <r>
          <rPr>
            <b/>
            <sz val="9"/>
            <color indexed="81"/>
            <rFont val="Tahoma"/>
            <family val="2"/>
          </rPr>
          <t>Administrator:</t>
        </r>
        <r>
          <rPr>
            <sz val="9"/>
            <color indexed="81"/>
            <rFont val="Tahoma"/>
            <family val="2"/>
          </rPr>
          <t xml:space="preserve">
TZ IMF RED 1979, Table 10.</t>
        </r>
      </text>
    </comment>
    <comment ref="AQ118" authorId="2" shapeId="0">
      <text>
        <r>
          <rPr>
            <b/>
            <sz val="9"/>
            <color indexed="81"/>
            <rFont val="Tahoma"/>
            <family val="2"/>
          </rPr>
          <t>Administrator:</t>
        </r>
        <r>
          <rPr>
            <sz val="9"/>
            <color indexed="81"/>
            <rFont val="Tahoma"/>
            <family val="2"/>
          </rPr>
          <t xml:space="preserve">
TZ IMF RED 1982, Table 13.</t>
        </r>
      </text>
    </comment>
    <comment ref="AS118" authorId="2" shapeId="0">
      <text>
        <r>
          <rPr>
            <b/>
            <sz val="9"/>
            <color indexed="81"/>
            <rFont val="Tahoma"/>
            <family val="2"/>
          </rPr>
          <t>Administrator:</t>
        </r>
        <r>
          <rPr>
            <sz val="9"/>
            <color indexed="81"/>
            <rFont val="Tahoma"/>
            <family val="2"/>
          </rPr>
          <t xml:space="preserve">
TZ IMF RED 1984, Table 7.</t>
        </r>
      </text>
    </comment>
    <comment ref="AW118" authorId="2" shapeId="0">
      <text>
        <r>
          <rPr>
            <b/>
            <sz val="9"/>
            <color indexed="81"/>
            <rFont val="Tahoma"/>
            <family val="2"/>
          </rPr>
          <t>Administrator:</t>
        </r>
        <r>
          <rPr>
            <sz val="9"/>
            <color indexed="81"/>
            <rFont val="Tahoma"/>
            <family val="2"/>
          </rPr>
          <t xml:space="preserve">
TZ IMF RED 1988, Table 10.</t>
        </r>
      </text>
    </comment>
    <comment ref="AY118" authorId="2" shapeId="0">
      <text>
        <r>
          <rPr>
            <b/>
            <sz val="9"/>
            <color indexed="81"/>
            <rFont val="Tahoma"/>
            <family val="2"/>
          </rPr>
          <t>Administrator:</t>
        </r>
        <r>
          <rPr>
            <sz val="9"/>
            <color indexed="81"/>
            <rFont val="Tahoma"/>
            <family val="2"/>
          </rPr>
          <t xml:space="preserve">
TZ IMF RED 1991, Table VI.</t>
        </r>
      </text>
    </comment>
    <comment ref="BB118" authorId="2" shapeId="0">
      <text>
        <r>
          <rPr>
            <b/>
            <sz val="9"/>
            <color indexed="81"/>
            <rFont val="Tahoma"/>
            <family val="2"/>
          </rPr>
          <t>Administrator:</t>
        </r>
        <r>
          <rPr>
            <sz val="9"/>
            <color indexed="81"/>
            <rFont val="Tahoma"/>
            <family val="2"/>
          </rPr>
          <t xml:space="preserve">
TZ IMF RED 1994, Table 5.</t>
        </r>
      </text>
    </comment>
    <comment ref="BG118" authorId="2" shapeId="0">
      <text>
        <r>
          <rPr>
            <b/>
            <sz val="9"/>
            <color indexed="81"/>
            <rFont val="Tahoma"/>
            <family val="2"/>
          </rPr>
          <t>Administrator:</t>
        </r>
        <r>
          <rPr>
            <sz val="9"/>
            <color indexed="81"/>
            <rFont val="Tahoma"/>
            <family val="2"/>
          </rPr>
          <t xml:space="preserve">
TZ IMF SA 2000, Table 10.</t>
        </r>
      </text>
    </comment>
    <comment ref="BK118" authorId="2" shapeId="0">
      <text>
        <r>
          <rPr>
            <b/>
            <sz val="9"/>
            <color indexed="81"/>
            <rFont val="Tahoma"/>
            <family val="2"/>
          </rPr>
          <t>Administrator:</t>
        </r>
        <r>
          <rPr>
            <sz val="9"/>
            <color indexed="81"/>
            <rFont val="Tahoma"/>
            <family val="2"/>
          </rPr>
          <t xml:space="preserve">
TZ IMF SA 2002, Table 11.</t>
        </r>
      </text>
    </comment>
    <comment ref="BO118" authorId="2" shapeId="0">
      <text>
        <r>
          <rPr>
            <b/>
            <sz val="9"/>
            <color indexed="81"/>
            <rFont val="Tahoma"/>
            <family val="2"/>
          </rPr>
          <t>Administrator:</t>
        </r>
        <r>
          <rPr>
            <sz val="9"/>
            <color indexed="81"/>
            <rFont val="Tahoma"/>
            <family val="2"/>
          </rPr>
          <t xml:space="preserve">
TZ IMF SA 2004, Table 11.</t>
        </r>
      </text>
    </comment>
    <comment ref="BR118" authorId="2" shapeId="0">
      <text>
        <r>
          <rPr>
            <b/>
            <sz val="9"/>
            <color indexed="81"/>
            <rFont val="Tahoma"/>
            <family val="2"/>
          </rPr>
          <t>Administrator:</t>
        </r>
        <r>
          <rPr>
            <sz val="9"/>
            <color indexed="81"/>
            <rFont val="Tahoma"/>
            <family val="2"/>
          </rPr>
          <t xml:space="preserve">
TZ IMF ARTICLE IV, 2006, Table 3.</t>
        </r>
      </text>
    </comment>
    <comment ref="BS118" authorId="2" shapeId="0">
      <text>
        <r>
          <rPr>
            <b/>
            <sz val="9"/>
            <color indexed="81"/>
            <rFont val="Tahoma"/>
            <family val="2"/>
          </rPr>
          <t>Administrator:</t>
        </r>
        <r>
          <rPr>
            <sz val="9"/>
            <color indexed="81"/>
            <rFont val="Tahoma"/>
            <family val="2"/>
          </rPr>
          <t xml:space="preserve">
TZ IMF ARTICLE IV, 2007, Table 3.</t>
        </r>
      </text>
    </comment>
    <comment ref="BT118" authorId="2" shapeId="0">
      <text>
        <r>
          <rPr>
            <b/>
            <sz val="9"/>
            <color indexed="81"/>
            <rFont val="Tahoma"/>
            <family val="2"/>
          </rPr>
          <t>Administrator:</t>
        </r>
        <r>
          <rPr>
            <sz val="9"/>
            <color indexed="81"/>
            <rFont val="Tahoma"/>
            <family val="2"/>
          </rPr>
          <t xml:space="preserve">
Projected.</t>
        </r>
      </text>
    </comment>
    <comment ref="BU118" authorId="2" shapeId="0">
      <text>
        <r>
          <rPr>
            <b/>
            <sz val="9"/>
            <color indexed="81"/>
            <rFont val="Tahoma"/>
            <family val="2"/>
          </rPr>
          <t>Administrator:</t>
        </r>
        <r>
          <rPr>
            <sz val="9"/>
            <color indexed="81"/>
            <rFont val="Tahoma"/>
            <family val="2"/>
          </rPr>
          <t xml:space="preserve">
TZ IMF ARTICLE IV, 2009, Table 3.</t>
        </r>
      </text>
    </comment>
    <comment ref="BV118" authorId="2" shapeId="0">
      <text>
        <r>
          <rPr>
            <b/>
            <sz val="9"/>
            <color indexed="81"/>
            <rFont val="Tahoma"/>
            <family val="2"/>
          </rPr>
          <t>Administrator:</t>
        </r>
        <r>
          <rPr>
            <sz val="9"/>
            <color indexed="81"/>
            <rFont val="Tahoma"/>
            <family val="2"/>
          </rPr>
          <t xml:space="preserve">
TZ IMF ARTICLE IV, 2011, Table 2a</t>
        </r>
      </text>
    </comment>
    <comment ref="U119" authorId="0" shapeId="0">
      <text>
        <r>
          <rPr>
            <b/>
            <sz val="9"/>
            <color indexed="81"/>
            <rFont val="Tahoma"/>
            <family val="2"/>
          </rPr>
          <t>Rebecca:</t>
        </r>
        <r>
          <rPr>
            <sz val="9"/>
            <color indexed="81"/>
            <rFont val="Tahoma"/>
            <family val="2"/>
          </rPr>
          <t xml:space="preserve">
TZ SA 1964, Table P.2
</t>
        </r>
      </text>
    </comment>
    <comment ref="AC119" authorId="2" shapeId="0">
      <text>
        <r>
          <rPr>
            <b/>
            <sz val="9"/>
            <color indexed="81"/>
            <rFont val="Tahoma"/>
            <family val="2"/>
          </rPr>
          <t>Administrator:</t>
        </r>
        <r>
          <rPr>
            <sz val="9"/>
            <color indexed="81"/>
            <rFont val="Tahoma"/>
            <family val="2"/>
          </rPr>
          <t xml:space="preserve">
TZ IMF ARTICLE IV, 1968, Part II Appendix, Table XI.</t>
        </r>
      </text>
    </comment>
    <comment ref="AE119" authorId="0" shapeId="0">
      <text>
        <r>
          <rPr>
            <b/>
            <sz val="9"/>
            <color indexed="81"/>
            <rFont val="Tahoma"/>
            <family val="2"/>
          </rPr>
          <t>Rebecca:</t>
        </r>
        <r>
          <rPr>
            <sz val="9"/>
            <color indexed="81"/>
            <rFont val="Tahoma"/>
            <family val="2"/>
          </rPr>
          <t xml:space="preserve">
TZ SA 1970, Table P.1</t>
        </r>
      </text>
    </comment>
    <comment ref="AM119" authorId="0" shapeId="0">
      <text>
        <r>
          <rPr>
            <b/>
            <sz val="9"/>
            <color indexed="81"/>
            <rFont val="Tahoma"/>
            <family val="2"/>
          </rPr>
          <t>Rebecca:</t>
        </r>
        <r>
          <rPr>
            <sz val="9"/>
            <color indexed="81"/>
            <rFont val="Tahoma"/>
            <family val="2"/>
          </rPr>
          <t xml:space="preserve">
TZ SA 1973-79, Table P.1</t>
        </r>
      </text>
    </comment>
    <comment ref="AW119" authorId="2" shapeId="0">
      <text>
        <r>
          <rPr>
            <b/>
            <sz val="9"/>
            <color indexed="81"/>
            <rFont val="Tahoma"/>
            <family val="2"/>
          </rPr>
          <t>Administrator:</t>
        </r>
        <r>
          <rPr>
            <sz val="9"/>
            <color indexed="81"/>
            <rFont val="Tahoma"/>
            <family val="2"/>
          </rPr>
          <t xml:space="preserve">
TZ IMF RED 1988, Page v.</t>
        </r>
      </text>
    </comment>
    <comment ref="BG119" authorId="2" shapeId="0">
      <text>
        <r>
          <rPr>
            <b/>
            <sz val="9"/>
            <color indexed="81"/>
            <rFont val="Tahoma"/>
            <family val="2"/>
          </rPr>
          <t>Administrator:</t>
        </r>
        <r>
          <rPr>
            <sz val="9"/>
            <color indexed="81"/>
            <rFont val="Tahoma"/>
            <family val="2"/>
          </rPr>
          <t xml:space="preserve">
TZ IMF SA 2000, Table 10.</t>
        </r>
      </text>
    </comment>
    <comment ref="BO119" authorId="2" shapeId="0">
      <text>
        <r>
          <rPr>
            <b/>
            <sz val="9"/>
            <color indexed="81"/>
            <rFont val="Tahoma"/>
            <family val="2"/>
          </rPr>
          <t>Administrator:</t>
        </r>
        <r>
          <rPr>
            <sz val="9"/>
            <color indexed="81"/>
            <rFont val="Tahoma"/>
            <family val="2"/>
          </rPr>
          <t xml:space="preserve">
TZ IMF SA 2004, Table 11.</t>
        </r>
      </text>
    </comment>
    <comment ref="L120" authorId="2" shapeId="0">
      <text>
        <r>
          <rPr>
            <b/>
            <sz val="9"/>
            <color indexed="81"/>
            <rFont val="Tahoma"/>
            <family val="2"/>
          </rPr>
          <t>Administrator:</t>
        </r>
        <r>
          <rPr>
            <sz val="9"/>
            <color indexed="81"/>
            <rFont val="Tahoma"/>
            <family val="2"/>
          </rPr>
          <t xml:space="preserve">
TZ SA 1938-52, Table 95.
(Includes poll tax transferred to local govts)</t>
        </r>
      </text>
    </comment>
    <comment ref="R120" authorId="2" shapeId="0">
      <text>
        <r>
          <rPr>
            <b/>
            <sz val="9"/>
            <color indexed="81"/>
            <rFont val="Tahoma"/>
            <family val="2"/>
          </rPr>
          <t>Administrator:</t>
        </r>
        <r>
          <rPr>
            <sz val="9"/>
            <color indexed="81"/>
            <rFont val="Tahoma"/>
            <family val="2"/>
          </rPr>
          <t xml:space="preserve">
EA ESB 1954 (Dec), No.26, Table G.17.</t>
        </r>
      </text>
    </comment>
    <comment ref="T120" authorId="2" shapeId="0">
      <text>
        <r>
          <rPr>
            <b/>
            <sz val="9"/>
            <color indexed="81"/>
            <rFont val="Tahoma"/>
            <family val="2"/>
          </rPr>
          <t>Administrator:</t>
        </r>
        <r>
          <rPr>
            <sz val="9"/>
            <color indexed="81"/>
            <rFont val="Tahoma"/>
            <family val="2"/>
          </rPr>
          <t xml:space="preserve">
TZ WB ECON 1962, Table 12.</t>
        </r>
      </text>
    </comment>
    <comment ref="U120" authorId="0" shapeId="0">
      <text>
        <r>
          <rPr>
            <b/>
            <sz val="9"/>
            <color indexed="81"/>
            <rFont val="Tahoma"/>
            <family val="2"/>
          </rPr>
          <t>Rebecca:</t>
        </r>
        <r>
          <rPr>
            <sz val="9"/>
            <color indexed="81"/>
            <rFont val="Tahoma"/>
            <family val="2"/>
          </rPr>
          <t xml:space="preserve">
TZ SA 1964, Table P.2
</t>
        </r>
      </text>
    </comment>
    <comment ref="Z120" authorId="2" shapeId="0">
      <text>
        <r>
          <rPr>
            <b/>
            <sz val="9"/>
            <color indexed="81"/>
            <rFont val="Tahoma"/>
            <family val="2"/>
          </rPr>
          <t>Administrator:</t>
        </r>
        <r>
          <rPr>
            <sz val="9"/>
            <color indexed="81"/>
            <rFont val="Tahoma"/>
            <family val="2"/>
          </rPr>
          <t xml:space="preserve">
TZ IMF ARTICLE IV, 1965, Part II , Table 16.</t>
        </r>
      </text>
    </comment>
    <comment ref="U122" authorId="0" shapeId="0">
      <text>
        <r>
          <rPr>
            <b/>
            <sz val="9"/>
            <color indexed="81"/>
            <rFont val="Tahoma"/>
            <family val="2"/>
          </rPr>
          <t>Rebecca:</t>
        </r>
        <r>
          <rPr>
            <sz val="9"/>
            <color indexed="81"/>
            <rFont val="Tahoma"/>
            <family val="2"/>
          </rPr>
          <t xml:space="preserve">
TZ SA 1964, Table P.10, P.12 and P.16</t>
        </r>
      </text>
    </comment>
    <comment ref="AC122" authorId="0" shapeId="0">
      <text>
        <r>
          <rPr>
            <b/>
            <sz val="9"/>
            <color indexed="81"/>
            <rFont val="Tahoma"/>
            <family val="2"/>
          </rPr>
          <t>Rebecca:</t>
        </r>
        <r>
          <rPr>
            <sz val="9"/>
            <color indexed="81"/>
            <rFont val="Tahoma"/>
            <family val="2"/>
          </rPr>
          <t xml:space="preserve">
TZ SA 1970, Tables P.9, P12 and P.14
(Excl. all transfers and non-recurrent rev)</t>
        </r>
      </text>
    </comment>
    <comment ref="AH122" authorId="0" shapeId="0">
      <text>
        <r>
          <rPr>
            <b/>
            <sz val="9"/>
            <color indexed="81"/>
            <rFont val="Tahoma"/>
            <family val="2"/>
          </rPr>
          <t>Rebecca:</t>
        </r>
        <r>
          <rPr>
            <sz val="9"/>
            <color indexed="81"/>
            <rFont val="Tahoma"/>
            <family val="2"/>
          </rPr>
          <t xml:space="preserve">
TZ SA 1973, Tables P.9, P12 and P.14
(Excl. all transfers and non-recurrent rev)</t>
        </r>
      </text>
    </comment>
    <comment ref="AW122" authorId="0" shapeId="0">
      <text>
        <r>
          <rPr>
            <b/>
            <sz val="9"/>
            <color indexed="81"/>
            <rFont val="Tahoma"/>
            <family val="2"/>
          </rPr>
          <t>Rebecca:</t>
        </r>
        <r>
          <rPr>
            <sz val="9"/>
            <color indexed="81"/>
            <rFont val="Tahoma"/>
            <family val="2"/>
          </rPr>
          <t xml:space="preserve">
Reestablishment of local councils</t>
        </r>
      </text>
    </comment>
    <comment ref="U123" authorId="0" shapeId="0">
      <text>
        <r>
          <rPr>
            <b/>
            <sz val="9"/>
            <color indexed="81"/>
            <rFont val="Tahoma"/>
            <family val="2"/>
          </rPr>
          <t>Rebecca:</t>
        </r>
        <r>
          <rPr>
            <sz val="9"/>
            <color indexed="81"/>
            <rFont val="Tahoma"/>
            <family val="2"/>
          </rPr>
          <t xml:space="preserve">
TZ SA 1964, Table P.10
Calendar year, 1956</t>
        </r>
      </text>
    </comment>
    <comment ref="AC123" authorId="0" shapeId="0">
      <text>
        <r>
          <rPr>
            <b/>
            <sz val="9"/>
            <color indexed="81"/>
            <rFont val="Tahoma"/>
            <family val="2"/>
          </rPr>
          <t>Rebecca:</t>
        </r>
        <r>
          <rPr>
            <sz val="9"/>
            <color indexed="81"/>
            <rFont val="Tahoma"/>
            <family val="2"/>
          </rPr>
          <t xml:space="preserve">
TZ SA 1970, Table P.9
</t>
        </r>
      </text>
    </comment>
    <comment ref="AH123" authorId="0" shapeId="0">
      <text>
        <r>
          <rPr>
            <b/>
            <sz val="9"/>
            <color indexed="81"/>
            <rFont val="Tahoma"/>
            <family val="2"/>
          </rPr>
          <t>Rebecca:</t>
        </r>
        <r>
          <rPr>
            <sz val="9"/>
            <color indexed="81"/>
            <rFont val="Tahoma"/>
            <family val="2"/>
          </rPr>
          <t xml:space="preserve">
TZ SA 1973, Table P.9
</t>
        </r>
      </text>
    </comment>
    <comment ref="AA124" authorId="0" shapeId="0">
      <text>
        <r>
          <rPr>
            <b/>
            <sz val="9"/>
            <color indexed="81"/>
            <rFont val="Tahoma"/>
            <family val="2"/>
          </rPr>
          <t>Rebecca:</t>
        </r>
        <r>
          <rPr>
            <sz val="9"/>
            <color indexed="81"/>
            <rFont val="Tahoma"/>
            <family val="2"/>
          </rPr>
          <t xml:space="preserve">
TZ SA 1964, Table P.12 (excl. grants)</t>
        </r>
      </text>
    </comment>
    <comment ref="AC124" authorId="0" shapeId="0">
      <text>
        <r>
          <rPr>
            <b/>
            <sz val="9"/>
            <color indexed="81"/>
            <rFont val="Tahoma"/>
            <family val="2"/>
          </rPr>
          <t>Rebecca:</t>
        </r>
        <r>
          <rPr>
            <sz val="9"/>
            <color indexed="81"/>
            <rFont val="Tahoma"/>
            <family val="2"/>
          </rPr>
          <t xml:space="preserve">
TZ SA 1970, Table P.12
</t>
        </r>
      </text>
    </comment>
    <comment ref="AH124" authorId="0" shapeId="0">
      <text>
        <r>
          <rPr>
            <b/>
            <sz val="9"/>
            <color indexed="81"/>
            <rFont val="Tahoma"/>
            <family val="2"/>
          </rPr>
          <t>Rebecca:</t>
        </r>
        <r>
          <rPr>
            <sz val="9"/>
            <color indexed="81"/>
            <rFont val="Tahoma"/>
            <family val="2"/>
          </rPr>
          <t xml:space="preserve">
TZ SA 1973, Table P.12
</t>
        </r>
      </text>
    </comment>
    <comment ref="L125" authorId="2" shapeId="0">
      <text>
        <r>
          <rPr>
            <b/>
            <sz val="9"/>
            <color indexed="81"/>
            <rFont val="Tahoma"/>
            <family val="2"/>
          </rPr>
          <t>Administrator:</t>
        </r>
        <r>
          <rPr>
            <sz val="9"/>
            <color indexed="81"/>
            <rFont val="Tahoma"/>
            <family val="2"/>
          </rPr>
          <t xml:space="preserve">
Native authorities revenue
TZ SA 1938-52, Table 110.</t>
        </r>
      </text>
    </comment>
    <comment ref="U125" authorId="0" shapeId="0">
      <text>
        <r>
          <rPr>
            <b/>
            <sz val="9"/>
            <color indexed="81"/>
            <rFont val="Tahoma"/>
            <family val="2"/>
          </rPr>
          <t>Rebecca:</t>
        </r>
        <r>
          <rPr>
            <sz val="9"/>
            <color indexed="81"/>
            <rFont val="Tahoma"/>
            <family val="2"/>
          </rPr>
          <t xml:space="preserve">
TZ SA 1964, Table P.16
Incl. taxes, local rates and other recurrent revenue.
Calendar year, 1956</t>
        </r>
      </text>
    </comment>
    <comment ref="AB125" authorId="0" shapeId="0">
      <text>
        <r>
          <rPr>
            <b/>
            <sz val="9"/>
            <color indexed="81"/>
            <rFont val="Tahoma"/>
            <family val="2"/>
          </rPr>
          <t>Rebecca:</t>
        </r>
        <r>
          <rPr>
            <sz val="9"/>
            <color indexed="81"/>
            <rFont val="Tahoma"/>
            <family val="2"/>
          </rPr>
          <t xml:space="preserve">
Up to here from 1964 stats abstract - different series - looks a bit too low...</t>
        </r>
      </text>
    </comment>
    <comment ref="AC125" authorId="0" shapeId="0">
      <text>
        <r>
          <rPr>
            <b/>
            <sz val="9"/>
            <color indexed="81"/>
            <rFont val="Tahoma"/>
            <family val="2"/>
          </rPr>
          <t>Rebecca:</t>
        </r>
        <r>
          <rPr>
            <sz val="9"/>
            <color indexed="81"/>
            <rFont val="Tahoma"/>
            <family val="2"/>
          </rPr>
          <t xml:space="preserve">
TZ SA 1970, Table P.14</t>
        </r>
      </text>
    </comment>
    <comment ref="AH125" authorId="0" shapeId="0">
      <text>
        <r>
          <rPr>
            <b/>
            <sz val="9"/>
            <color indexed="81"/>
            <rFont val="Tahoma"/>
            <family val="2"/>
          </rPr>
          <t>Rebecca:</t>
        </r>
        <r>
          <rPr>
            <sz val="9"/>
            <color indexed="81"/>
            <rFont val="Tahoma"/>
            <family val="2"/>
          </rPr>
          <t xml:space="preserve">
TZ SA 1973, Table P.14</t>
        </r>
      </text>
    </comment>
    <comment ref="BM125" authorId="0" shapeId="0">
      <text>
        <r>
          <rPr>
            <b/>
            <sz val="9"/>
            <color indexed="81"/>
            <rFont val="Tahoma"/>
            <family val="2"/>
          </rPr>
          <t>Rebecca:</t>
        </r>
        <r>
          <rPr>
            <sz val="9"/>
            <color indexed="81"/>
            <rFont val="Tahoma"/>
            <family val="2"/>
          </rPr>
          <t xml:space="preserve">
WB report on decentralisation, own rev 23% of total rev for local govts - so this would be roughly 3% of overall govt spending.</t>
        </r>
      </text>
    </comment>
    <comment ref="AW126" authorId="2" shapeId="0">
      <text>
        <r>
          <rPr>
            <b/>
            <sz val="9"/>
            <color indexed="81"/>
            <rFont val="Tahoma"/>
            <family val="2"/>
          </rPr>
          <t>Administrator:</t>
        </r>
        <r>
          <rPr>
            <sz val="9"/>
            <color indexed="81"/>
            <rFont val="Tahoma"/>
            <family val="2"/>
          </rPr>
          <t xml:space="preserve">
Estimates
</t>
        </r>
      </text>
    </comment>
    <comment ref="L128" authorId="2" shapeId="0">
      <text>
        <r>
          <rPr>
            <b/>
            <sz val="9"/>
            <color indexed="81"/>
            <rFont val="Tahoma"/>
            <family val="2"/>
          </rPr>
          <t>Administrator:</t>
        </r>
        <r>
          <rPr>
            <sz val="9"/>
            <color indexed="81"/>
            <rFont val="Tahoma"/>
            <family val="2"/>
          </rPr>
          <t xml:space="preserve">
Estimated upwards by same amount as revenue to account for missing departmental rev/spending</t>
        </r>
      </text>
    </comment>
    <comment ref="T128" authorId="2" shapeId="0">
      <text>
        <r>
          <rPr>
            <b/>
            <sz val="9"/>
            <color indexed="81"/>
            <rFont val="Tahoma"/>
            <family val="2"/>
          </rPr>
          <t>Administrator:</t>
        </r>
        <r>
          <rPr>
            <sz val="9"/>
            <color indexed="81"/>
            <rFont val="Tahoma"/>
            <family val="2"/>
          </rPr>
          <t xml:space="preserve">
Estimated upwards by same amount as revenue to account for missing departmental rev/spending</t>
        </r>
      </text>
    </comment>
    <comment ref="AC128" authorId="2" shapeId="0">
      <text>
        <r>
          <rPr>
            <b/>
            <sz val="9"/>
            <color indexed="81"/>
            <rFont val="Tahoma"/>
            <family val="2"/>
          </rPr>
          <t>Administrator:</t>
        </r>
        <r>
          <rPr>
            <sz val="9"/>
            <color indexed="81"/>
            <rFont val="Tahoma"/>
            <family val="2"/>
          </rPr>
          <t xml:space="preserve">
TZ IMF ARTICLE IV, 1968, Part II Appendix, Table X.
Not fully comparable to earlier series which does not appear to capture all reimbursements. 10% jump in series from here on.</t>
        </r>
      </text>
    </comment>
    <comment ref="AG128" authorId="2" shapeId="0">
      <text>
        <r>
          <rPr>
            <b/>
            <sz val="9"/>
            <color indexed="81"/>
            <rFont val="Tahoma"/>
            <family val="2"/>
          </rPr>
          <t>Administrator:</t>
        </r>
        <r>
          <rPr>
            <sz val="9"/>
            <color indexed="81"/>
            <rFont val="Tahoma"/>
            <family val="2"/>
          </rPr>
          <t xml:space="preserve">
TZ IMF RED 1972, Table XIII.</t>
        </r>
      </text>
    </comment>
    <comment ref="AL128" authorId="2" shapeId="0">
      <text>
        <r>
          <rPr>
            <b/>
            <sz val="9"/>
            <color indexed="81"/>
            <rFont val="Tahoma"/>
            <family val="2"/>
          </rPr>
          <t>Administrator:</t>
        </r>
        <r>
          <rPr>
            <sz val="9"/>
            <color indexed="81"/>
            <rFont val="Tahoma"/>
            <family val="2"/>
          </rPr>
          <t xml:space="preserve">
TZ IMF RED 1976, Table 10.</t>
        </r>
      </text>
    </comment>
    <comment ref="AN128" authorId="2" shapeId="0">
      <text>
        <r>
          <rPr>
            <b/>
            <sz val="9"/>
            <color indexed="81"/>
            <rFont val="Tahoma"/>
            <family val="2"/>
          </rPr>
          <t>Administrator:</t>
        </r>
        <r>
          <rPr>
            <sz val="9"/>
            <color indexed="81"/>
            <rFont val="Tahoma"/>
            <family val="2"/>
          </rPr>
          <t xml:space="preserve">
TZ IMF RED 1979, Table III.</t>
        </r>
      </text>
    </comment>
    <comment ref="AQ128" authorId="2" shapeId="0">
      <text>
        <r>
          <rPr>
            <b/>
            <sz val="9"/>
            <color indexed="81"/>
            <rFont val="Tahoma"/>
            <family val="2"/>
          </rPr>
          <t>Administrator:</t>
        </r>
        <r>
          <rPr>
            <sz val="9"/>
            <color indexed="81"/>
            <rFont val="Tahoma"/>
            <family val="2"/>
          </rPr>
          <t xml:space="preserve">
TZ IMF RED 1982, Table 14.</t>
        </r>
      </text>
    </comment>
    <comment ref="AS128" authorId="2" shapeId="0">
      <text>
        <r>
          <rPr>
            <b/>
            <sz val="9"/>
            <color indexed="81"/>
            <rFont val="Tahoma"/>
            <family val="2"/>
          </rPr>
          <t>Administrator:</t>
        </r>
        <r>
          <rPr>
            <sz val="9"/>
            <color indexed="81"/>
            <rFont val="Tahoma"/>
            <family val="2"/>
          </rPr>
          <t xml:space="preserve">
TZ IMF RED 1984, Table 8.</t>
        </r>
      </text>
    </comment>
    <comment ref="AV128" authorId="0" shapeId="0">
      <text>
        <r>
          <rPr>
            <b/>
            <sz val="9"/>
            <color indexed="81"/>
            <rFont val="Tahoma"/>
            <family val="2"/>
          </rPr>
          <t>Rebecca:</t>
        </r>
        <r>
          <rPr>
            <sz val="9"/>
            <color indexed="81"/>
            <rFont val="Tahoma"/>
            <family val="2"/>
          </rPr>
          <t xml:space="preserve">
Revised estimates</t>
        </r>
      </text>
    </comment>
    <comment ref="AW128" authorId="2" shapeId="0">
      <text>
        <r>
          <rPr>
            <b/>
            <sz val="9"/>
            <color indexed="81"/>
            <rFont val="Tahoma"/>
            <family val="2"/>
          </rPr>
          <t>Administrator:</t>
        </r>
        <r>
          <rPr>
            <sz val="9"/>
            <color indexed="81"/>
            <rFont val="Tahoma"/>
            <family val="2"/>
          </rPr>
          <t xml:space="preserve">
TZ IMF RED 1988, Table 11.</t>
        </r>
      </text>
    </comment>
    <comment ref="AY128" authorId="2" shapeId="0">
      <text>
        <r>
          <rPr>
            <b/>
            <sz val="9"/>
            <color indexed="81"/>
            <rFont val="Tahoma"/>
            <family val="2"/>
          </rPr>
          <t>Administrator:</t>
        </r>
        <r>
          <rPr>
            <sz val="9"/>
            <color indexed="81"/>
            <rFont val="Tahoma"/>
            <family val="2"/>
          </rPr>
          <t xml:space="preserve">
TZ IMF RED 1991, Table VII.</t>
        </r>
      </text>
    </comment>
    <comment ref="BB128" authorId="2" shapeId="0">
      <text>
        <r>
          <rPr>
            <b/>
            <sz val="9"/>
            <color indexed="81"/>
            <rFont val="Tahoma"/>
            <family val="2"/>
          </rPr>
          <t>Administrator:</t>
        </r>
        <r>
          <rPr>
            <sz val="9"/>
            <color indexed="81"/>
            <rFont val="Tahoma"/>
            <family val="2"/>
          </rPr>
          <t xml:space="preserve">
TZ IMF RED 1994, Table IX.</t>
        </r>
      </text>
    </comment>
    <comment ref="BG128" authorId="2" shapeId="0">
      <text>
        <r>
          <rPr>
            <b/>
            <sz val="9"/>
            <color indexed="81"/>
            <rFont val="Tahoma"/>
            <family val="2"/>
          </rPr>
          <t>Administrator:</t>
        </r>
        <r>
          <rPr>
            <sz val="9"/>
            <color indexed="81"/>
            <rFont val="Tahoma"/>
            <family val="2"/>
          </rPr>
          <t xml:space="preserve">
TZ IMF SA 2000, Table 10.</t>
        </r>
      </text>
    </comment>
    <comment ref="BK128" authorId="2" shapeId="0">
      <text>
        <r>
          <rPr>
            <b/>
            <sz val="9"/>
            <color indexed="81"/>
            <rFont val="Tahoma"/>
            <family val="2"/>
          </rPr>
          <t>Administrator:</t>
        </r>
        <r>
          <rPr>
            <sz val="9"/>
            <color indexed="81"/>
            <rFont val="Tahoma"/>
            <family val="2"/>
          </rPr>
          <t xml:space="preserve">
TZ IMF SA 2002, Table 11.</t>
        </r>
      </text>
    </comment>
    <comment ref="BO128" authorId="2" shapeId="0">
      <text>
        <r>
          <rPr>
            <b/>
            <sz val="9"/>
            <color indexed="81"/>
            <rFont val="Tahoma"/>
            <family val="2"/>
          </rPr>
          <t>Administrator:</t>
        </r>
        <r>
          <rPr>
            <sz val="9"/>
            <color indexed="81"/>
            <rFont val="Tahoma"/>
            <family val="2"/>
          </rPr>
          <t xml:space="preserve">
TZ IMF SA 2004, Table 11.</t>
        </r>
      </text>
    </comment>
    <comment ref="BS128" authorId="2" shapeId="0">
      <text>
        <r>
          <rPr>
            <b/>
            <sz val="9"/>
            <color indexed="81"/>
            <rFont val="Tahoma"/>
            <family val="2"/>
          </rPr>
          <t>Administrator:</t>
        </r>
        <r>
          <rPr>
            <sz val="9"/>
            <color indexed="81"/>
            <rFont val="Tahoma"/>
            <family val="2"/>
          </rPr>
          <t xml:space="preserve">
TZ IMF ARTICLE IV, 2007, Table 3.</t>
        </r>
      </text>
    </comment>
    <comment ref="BU128" authorId="2" shapeId="0">
      <text>
        <r>
          <rPr>
            <b/>
            <sz val="9"/>
            <color indexed="81"/>
            <rFont val="Tahoma"/>
            <family val="2"/>
          </rPr>
          <t>Administrator:</t>
        </r>
        <r>
          <rPr>
            <sz val="9"/>
            <color indexed="81"/>
            <rFont val="Tahoma"/>
            <family val="2"/>
          </rPr>
          <t xml:space="preserve">
TZ IMF ARTICLE IV, 2009, Table 3.</t>
        </r>
      </text>
    </comment>
    <comment ref="BV128" authorId="2" shapeId="0">
      <text>
        <r>
          <rPr>
            <b/>
            <sz val="9"/>
            <color indexed="81"/>
            <rFont val="Tahoma"/>
            <family val="2"/>
          </rPr>
          <t>Administrator:</t>
        </r>
        <r>
          <rPr>
            <sz val="9"/>
            <color indexed="81"/>
            <rFont val="Tahoma"/>
            <family val="2"/>
          </rPr>
          <t xml:space="preserve">
TZ IMF ARTICLE IV, 2011, Table 2a</t>
        </r>
      </text>
    </comment>
    <comment ref="L129" authorId="2" shapeId="0">
      <text>
        <r>
          <rPr>
            <b/>
            <sz val="9"/>
            <color indexed="81"/>
            <rFont val="Tahoma"/>
            <family val="2"/>
          </rPr>
          <t>Administrator:</t>
        </r>
        <r>
          <rPr>
            <sz val="9"/>
            <color indexed="81"/>
            <rFont val="Tahoma"/>
            <family val="2"/>
          </rPr>
          <t xml:space="preserve">
TZ SA 1938-52, Table 96.</t>
        </r>
      </text>
    </comment>
    <comment ref="R129" authorId="2" shapeId="0">
      <text>
        <r>
          <rPr>
            <b/>
            <sz val="9"/>
            <color indexed="81"/>
            <rFont val="Tahoma"/>
            <family val="2"/>
          </rPr>
          <t>Administrator:</t>
        </r>
        <r>
          <rPr>
            <sz val="9"/>
            <color indexed="81"/>
            <rFont val="Tahoma"/>
            <family val="2"/>
          </rPr>
          <t xml:space="preserve">
EA ESB 1954 (Dec), No.26, Table G.18.</t>
        </r>
      </text>
    </comment>
    <comment ref="U129" authorId="0" shapeId="0">
      <text>
        <r>
          <rPr>
            <b/>
            <sz val="9"/>
            <color indexed="81"/>
            <rFont val="Tahoma"/>
            <family val="2"/>
          </rPr>
          <t>Rebecca:</t>
        </r>
        <r>
          <rPr>
            <sz val="9"/>
            <color indexed="81"/>
            <rFont val="Tahoma"/>
            <family val="2"/>
          </rPr>
          <t xml:space="preserve">
TZ SA 1964, Table P.3</t>
        </r>
      </text>
    </comment>
    <comment ref="M130" authorId="2" shapeId="0">
      <text>
        <r>
          <rPr>
            <b/>
            <sz val="9"/>
            <color indexed="81"/>
            <rFont val="Tahoma"/>
            <family val="2"/>
          </rPr>
          <t>Administrator:</t>
        </r>
        <r>
          <rPr>
            <sz val="9"/>
            <color indexed="81"/>
            <rFont val="Tahoma"/>
            <family val="2"/>
          </rPr>
          <t xml:space="preserve">
TZ WB ECON 1962, Table 12.</t>
        </r>
      </text>
    </comment>
    <comment ref="U130" authorId="0" shapeId="0">
      <text>
        <r>
          <rPr>
            <b/>
            <sz val="9"/>
            <color indexed="81"/>
            <rFont val="Tahoma"/>
            <family val="2"/>
          </rPr>
          <t>Rebecca:</t>
        </r>
        <r>
          <rPr>
            <sz val="9"/>
            <color indexed="81"/>
            <rFont val="Tahoma"/>
            <family val="2"/>
          </rPr>
          <t xml:space="preserve">
TZ SA 1964, Table P.3</t>
        </r>
      </text>
    </comment>
    <comment ref="Z130" authorId="2" shapeId="0">
      <text>
        <r>
          <rPr>
            <b/>
            <sz val="9"/>
            <color indexed="81"/>
            <rFont val="Tahoma"/>
            <family val="2"/>
          </rPr>
          <t>Administrator:</t>
        </r>
        <r>
          <rPr>
            <sz val="9"/>
            <color indexed="81"/>
            <rFont val="Tahoma"/>
            <family val="2"/>
          </rPr>
          <t xml:space="preserve">
TZ IMF ARTICLE IV, 1965, Part II , Table 16.</t>
        </r>
      </text>
    </comment>
    <comment ref="AC130" authorId="2" shapeId="0">
      <text>
        <r>
          <rPr>
            <b/>
            <sz val="9"/>
            <color indexed="81"/>
            <rFont val="Tahoma"/>
            <family val="2"/>
          </rPr>
          <t>Administrator:</t>
        </r>
        <r>
          <rPr>
            <sz val="9"/>
            <color indexed="81"/>
            <rFont val="Tahoma"/>
            <family val="2"/>
          </rPr>
          <t xml:space="preserve">
TZ IMF ARTICLE IV, 1968, Part II Appendix, Table X.</t>
        </r>
      </text>
    </comment>
    <comment ref="AG130" authorId="2" shapeId="0">
      <text>
        <r>
          <rPr>
            <b/>
            <sz val="9"/>
            <color indexed="81"/>
            <rFont val="Tahoma"/>
            <family val="2"/>
          </rPr>
          <t>Administrator:</t>
        </r>
        <r>
          <rPr>
            <sz val="9"/>
            <color indexed="81"/>
            <rFont val="Tahoma"/>
            <family val="2"/>
          </rPr>
          <t xml:space="preserve">
TZ IMF RED 1972, Table XIV.</t>
        </r>
      </text>
    </comment>
    <comment ref="AI130" authorId="2" shapeId="0">
      <text>
        <r>
          <rPr>
            <b/>
            <sz val="9"/>
            <color indexed="81"/>
            <rFont val="Tahoma"/>
            <family val="2"/>
          </rPr>
          <t>Administrator:</t>
        </r>
        <r>
          <rPr>
            <sz val="9"/>
            <color indexed="81"/>
            <rFont val="Tahoma"/>
            <family val="2"/>
          </rPr>
          <t xml:space="preserve">
</t>
        </r>
      </text>
    </comment>
    <comment ref="AC131" authorId="0" shapeId="0">
      <text>
        <r>
          <rPr>
            <b/>
            <sz val="9"/>
            <color indexed="81"/>
            <rFont val="Tahoma"/>
            <family val="2"/>
          </rPr>
          <t>Rebecca:</t>
        </r>
        <r>
          <rPr>
            <sz val="9"/>
            <color indexed="81"/>
            <rFont val="Tahoma"/>
            <family val="2"/>
          </rPr>
          <t xml:space="preserve">
TZ SA 1970, Table P.4
(wages and allowances)</t>
        </r>
      </text>
    </comment>
    <comment ref="AJ131" authorId="0" shapeId="0">
      <text>
        <r>
          <rPr>
            <b/>
            <sz val="9"/>
            <color indexed="81"/>
            <rFont val="Tahoma"/>
            <family val="2"/>
          </rPr>
          <t>Rebecca:</t>
        </r>
        <r>
          <rPr>
            <sz val="9"/>
            <color indexed="81"/>
            <rFont val="Tahoma"/>
            <family val="2"/>
          </rPr>
          <t xml:space="preserve">
TZ SA 1973, Table P.4 
(wages and allowances)</t>
        </r>
      </text>
    </comment>
    <comment ref="AM131" authorId="0" shapeId="0">
      <text>
        <r>
          <rPr>
            <b/>
            <sz val="9"/>
            <color indexed="81"/>
            <rFont val="Tahoma"/>
            <family val="2"/>
          </rPr>
          <t>Rebecca:</t>
        </r>
        <r>
          <rPr>
            <sz val="9"/>
            <color indexed="81"/>
            <rFont val="Tahoma"/>
            <family val="2"/>
          </rPr>
          <t xml:space="preserve">
TZ SA 1973-79, Table P.4</t>
        </r>
      </text>
    </comment>
    <comment ref="AU131" authorId="0" shapeId="0">
      <text>
        <r>
          <rPr>
            <b/>
            <sz val="9"/>
            <color indexed="81"/>
            <rFont val="Tahoma"/>
            <family val="2"/>
          </rPr>
          <t>Rebecca:</t>
        </r>
        <r>
          <rPr>
            <sz val="9"/>
            <color indexed="81"/>
            <rFont val="Tahoma"/>
            <family val="2"/>
          </rPr>
          <t xml:space="preserve">
Here and next year at least it does seem that wages include local govt and urban councils
</t>
        </r>
      </text>
    </comment>
    <comment ref="AX131" authorId="0" shapeId="0">
      <text>
        <r>
          <rPr>
            <b/>
            <sz val="9"/>
            <color indexed="81"/>
            <rFont val="Tahoma"/>
            <family val="2"/>
          </rPr>
          <t>Rebecca:</t>
        </r>
        <r>
          <rPr>
            <sz val="9"/>
            <color indexed="81"/>
            <rFont val="Tahoma"/>
            <family val="2"/>
          </rPr>
          <t xml:space="preserve">
I think this may include urban and local districts. According IMF recent econ developments - would be 6640 w. local govt, 4806 w/o. In other words, LG is 30% of total.
From 1988 recent econ dev: Starting with FY 84/85, salaries and wages paid to employees of urban and district counciels have been classified as transfers. However, in this table, these amounts are included in wages and salaries and deducted from transfer payments. in 86/87, transfers for wages totalled 3582.</t>
        </r>
      </text>
    </comment>
    <comment ref="AC132" authorId="0" shapeId="0">
      <text>
        <r>
          <rPr>
            <b/>
            <sz val="9"/>
            <color indexed="81"/>
            <rFont val="Tahoma"/>
            <family val="2"/>
          </rPr>
          <t>Rebecca:</t>
        </r>
        <r>
          <rPr>
            <sz val="9"/>
            <color indexed="81"/>
            <rFont val="Tahoma"/>
            <family val="2"/>
          </rPr>
          <t xml:space="preserve">
TZ SA 1970, Table P.4
</t>
        </r>
      </text>
    </comment>
    <comment ref="AJ132" authorId="0" shapeId="0">
      <text>
        <r>
          <rPr>
            <b/>
            <sz val="9"/>
            <color indexed="81"/>
            <rFont val="Tahoma"/>
            <family val="2"/>
          </rPr>
          <t>Rebecca:</t>
        </r>
        <r>
          <rPr>
            <sz val="9"/>
            <color indexed="81"/>
            <rFont val="Tahoma"/>
            <family val="2"/>
          </rPr>
          <t xml:space="preserve">
TZ SA 1973, Table P.4</t>
        </r>
      </text>
    </comment>
    <comment ref="AM132" authorId="0" shapeId="0">
      <text>
        <r>
          <rPr>
            <b/>
            <sz val="9"/>
            <color indexed="81"/>
            <rFont val="Tahoma"/>
            <family val="2"/>
          </rPr>
          <t>Rebecca:</t>
        </r>
        <r>
          <rPr>
            <sz val="9"/>
            <color indexed="81"/>
            <rFont val="Tahoma"/>
            <family val="2"/>
          </rPr>
          <t xml:space="preserve">
TZ SA 1973-79, Table P.4</t>
        </r>
      </text>
    </comment>
    <comment ref="C134" authorId="2" shapeId="0">
      <text>
        <r>
          <rPr>
            <b/>
            <sz val="9"/>
            <color indexed="81"/>
            <rFont val="Tahoma"/>
            <family val="2"/>
          </rPr>
          <t>Administrator:</t>
        </r>
        <r>
          <rPr>
            <sz val="9"/>
            <color indexed="81"/>
            <rFont val="Tahoma"/>
            <family val="2"/>
          </rPr>
          <t xml:space="preserve">
Incl. foreign financed dev exp.</t>
        </r>
      </text>
    </comment>
    <comment ref="M134" authorId="2" shapeId="0">
      <text>
        <r>
          <rPr>
            <b/>
            <sz val="9"/>
            <color indexed="81"/>
            <rFont val="Tahoma"/>
            <family val="2"/>
          </rPr>
          <t>Administrator:</t>
        </r>
        <r>
          <rPr>
            <sz val="9"/>
            <color indexed="81"/>
            <rFont val="Tahoma"/>
            <family val="2"/>
          </rPr>
          <t xml:space="preserve">
TZ WB ECON 1962, Table 12.</t>
        </r>
      </text>
    </comment>
    <comment ref="U134" authorId="0" shapeId="0">
      <text>
        <r>
          <rPr>
            <b/>
            <sz val="9"/>
            <color indexed="81"/>
            <rFont val="Tahoma"/>
            <family val="2"/>
          </rPr>
          <t>Rebecca:</t>
        </r>
        <r>
          <rPr>
            <sz val="9"/>
            <color indexed="81"/>
            <rFont val="Tahoma"/>
            <family val="2"/>
          </rPr>
          <t xml:space="preserve">
TZ SA 1964, Table P.3</t>
        </r>
      </text>
    </comment>
    <comment ref="Z134" authorId="2" shapeId="0">
      <text>
        <r>
          <rPr>
            <b/>
            <sz val="9"/>
            <color indexed="81"/>
            <rFont val="Tahoma"/>
            <family val="2"/>
          </rPr>
          <t>Administrator:</t>
        </r>
        <r>
          <rPr>
            <sz val="9"/>
            <color indexed="81"/>
            <rFont val="Tahoma"/>
            <family val="2"/>
          </rPr>
          <t xml:space="preserve">
TZ IMF ARTICLE IV, 1965, Part II , Table 17.</t>
        </r>
      </text>
    </comment>
    <comment ref="AC134" authorId="2" shapeId="0">
      <text>
        <r>
          <rPr>
            <b/>
            <sz val="9"/>
            <color indexed="81"/>
            <rFont val="Tahoma"/>
            <family val="2"/>
          </rPr>
          <t>Administrator:</t>
        </r>
        <r>
          <rPr>
            <sz val="9"/>
            <color indexed="81"/>
            <rFont val="Tahoma"/>
            <family val="2"/>
          </rPr>
          <t xml:space="preserve">
TZ IMF ARTICLE IV, 1968, Part II Appendix, Table X.</t>
        </r>
      </text>
    </comment>
    <comment ref="AG134" authorId="2" shapeId="0">
      <text>
        <r>
          <rPr>
            <b/>
            <sz val="9"/>
            <color indexed="81"/>
            <rFont val="Tahoma"/>
            <family val="2"/>
          </rPr>
          <t>Administrator:</t>
        </r>
        <r>
          <rPr>
            <sz val="9"/>
            <color indexed="81"/>
            <rFont val="Tahoma"/>
            <family val="2"/>
          </rPr>
          <t xml:space="preserve">
TZ IMF RED 1972, Table XV.</t>
        </r>
      </text>
    </comment>
    <comment ref="Y137" authorId="0" shapeId="0">
      <text>
        <r>
          <rPr>
            <b/>
            <sz val="9"/>
            <color indexed="81"/>
            <rFont val="Tahoma"/>
            <family val="2"/>
          </rPr>
          <t>Rebecca:</t>
        </r>
        <r>
          <rPr>
            <sz val="9"/>
            <color indexed="81"/>
            <rFont val="Tahoma"/>
            <family val="2"/>
          </rPr>
          <t xml:space="preserve">
TZ SA 1964, Table P.3</t>
        </r>
      </text>
    </comment>
    <comment ref="AC137" authorId="0" shapeId="0">
      <text>
        <r>
          <rPr>
            <b/>
            <sz val="9"/>
            <color indexed="81"/>
            <rFont val="Tahoma"/>
            <family val="2"/>
          </rPr>
          <t>Rebecca:</t>
        </r>
        <r>
          <rPr>
            <sz val="9"/>
            <color indexed="81"/>
            <rFont val="Tahoma"/>
            <family val="2"/>
          </rPr>
          <t xml:space="preserve">
TZ SA 1970, Table P.7
</t>
        </r>
      </text>
    </comment>
    <comment ref="AF137" authorId="0" shapeId="0">
      <text>
        <r>
          <rPr>
            <b/>
            <sz val="9"/>
            <color indexed="81"/>
            <rFont val="Tahoma"/>
            <family val="2"/>
          </rPr>
          <t>Rebecca:</t>
        </r>
        <r>
          <rPr>
            <sz val="9"/>
            <color indexed="81"/>
            <rFont val="Tahoma"/>
            <family val="2"/>
          </rPr>
          <t xml:space="preserve">
TZ SA 1973, Table P.7</t>
        </r>
      </text>
    </comment>
    <comment ref="AM137" authorId="0" shapeId="0">
      <text>
        <r>
          <rPr>
            <b/>
            <sz val="9"/>
            <color indexed="81"/>
            <rFont val="Tahoma"/>
            <family val="2"/>
          </rPr>
          <t>Rebecca:</t>
        </r>
        <r>
          <rPr>
            <sz val="9"/>
            <color indexed="81"/>
            <rFont val="Tahoma"/>
            <family val="2"/>
          </rPr>
          <t xml:space="preserve">
TZ SA 1973-79, Table P.7</t>
        </r>
      </text>
    </comment>
    <comment ref="AP137" authorId="2" shapeId="0">
      <text>
        <r>
          <rPr>
            <b/>
            <sz val="9"/>
            <color indexed="81"/>
            <rFont val="Tahoma"/>
            <family val="2"/>
          </rPr>
          <t>Administrator:</t>
        </r>
        <r>
          <rPr>
            <sz val="9"/>
            <color indexed="81"/>
            <rFont val="Tahoma"/>
            <family val="2"/>
          </rPr>
          <t xml:space="preserve">
TZ WB EM 1984, Table 5.7</t>
        </r>
      </text>
    </comment>
    <comment ref="AU137" authorId="2" shapeId="0">
      <text>
        <r>
          <rPr>
            <b/>
            <sz val="9"/>
            <color indexed="81"/>
            <rFont val="Tahoma"/>
            <family val="2"/>
          </rPr>
          <t>Administrator:</t>
        </r>
        <r>
          <rPr>
            <sz val="9"/>
            <color indexed="81"/>
            <rFont val="Tahoma"/>
            <family val="2"/>
          </rPr>
          <t xml:space="preserve">
TZ WB PER 1989, Vol III, Table B14</t>
        </r>
      </text>
    </comment>
    <comment ref="AW137" authorId="2" shapeId="0">
      <text>
        <r>
          <rPr>
            <b/>
            <sz val="9"/>
            <color indexed="81"/>
            <rFont val="Tahoma"/>
            <family val="2"/>
          </rPr>
          <t>Administrator:</t>
        </r>
        <r>
          <rPr>
            <sz val="9"/>
            <color indexed="81"/>
            <rFont val="Tahoma"/>
            <family val="2"/>
          </rPr>
          <t xml:space="preserve">
TZ WB PER 1996, Vol II, Table 5.4</t>
        </r>
      </text>
    </comment>
    <comment ref="BJ137" authorId="2" shapeId="0">
      <text>
        <r>
          <rPr>
            <b/>
            <sz val="9"/>
            <color indexed="81"/>
            <rFont val="Tahoma"/>
            <family val="2"/>
          </rPr>
          <t>Administrator:</t>
        </r>
        <r>
          <rPr>
            <sz val="9"/>
            <color indexed="81"/>
            <rFont val="Tahoma"/>
            <family val="2"/>
          </rPr>
          <t xml:space="preserve">
TZ WB PER 2002 Table 6a 
(Doesn't appear to be any defence dev exp in this period)</t>
        </r>
      </text>
    </comment>
    <comment ref="BO137" authorId="2" shapeId="0">
      <text>
        <r>
          <rPr>
            <b/>
            <sz val="9"/>
            <color indexed="81"/>
            <rFont val="Tahoma"/>
            <family val="2"/>
          </rPr>
          <t>Administrator:</t>
        </r>
        <r>
          <rPr>
            <sz val="9"/>
            <color indexed="81"/>
            <rFont val="Tahoma"/>
            <family val="2"/>
          </rPr>
          <t xml:space="preserve">
TZ WB PER 2005, Table A6a</t>
        </r>
      </text>
    </comment>
    <comment ref="BT137" authorId="2" shapeId="0">
      <text>
        <r>
          <rPr>
            <b/>
            <sz val="9"/>
            <color indexed="81"/>
            <rFont val="Tahoma"/>
            <family val="2"/>
          </rPr>
          <t>Administrator:</t>
        </r>
        <r>
          <rPr>
            <sz val="9"/>
            <color indexed="81"/>
            <rFont val="Tahoma"/>
            <family val="2"/>
          </rPr>
          <t xml:space="preserve">
TZ WB PER 2008, Appendix 16</t>
        </r>
      </text>
    </comment>
    <comment ref="BW137" authorId="2" shapeId="0">
      <text>
        <r>
          <rPr>
            <b/>
            <sz val="9"/>
            <color indexed="81"/>
            <rFont val="Tahoma"/>
            <family val="2"/>
          </rPr>
          <t>Administrator:</t>
        </r>
        <r>
          <rPr>
            <sz val="9"/>
            <color indexed="81"/>
            <rFont val="Tahoma"/>
            <family val="2"/>
          </rPr>
          <t xml:space="preserve">
TZ WB PER 2009</t>
        </r>
      </text>
    </comment>
    <comment ref="AC138" authorId="2" shapeId="0">
      <text>
        <r>
          <rPr>
            <b/>
            <sz val="9"/>
            <color indexed="81"/>
            <rFont val="Tahoma"/>
            <family val="2"/>
          </rPr>
          <t>Administrator:</t>
        </r>
        <r>
          <rPr>
            <sz val="9"/>
            <color indexed="81"/>
            <rFont val="Tahoma"/>
            <family val="2"/>
          </rPr>
          <t xml:space="preserve">
Assumed 80-20% split between recurrent and development</t>
        </r>
      </text>
    </comment>
    <comment ref="BJ138" authorId="2" shapeId="0">
      <text>
        <r>
          <rPr>
            <b/>
            <sz val="9"/>
            <color indexed="81"/>
            <rFont val="Tahoma"/>
            <family val="2"/>
          </rPr>
          <t>Administrator:</t>
        </r>
        <r>
          <rPr>
            <sz val="9"/>
            <color indexed="81"/>
            <rFont val="Tahoma"/>
            <family val="2"/>
          </rPr>
          <t xml:space="preserve">
TZ WB PER 2002 Table 6a 
(Doesn't appear to be any defence dev exp in this period)</t>
        </r>
      </text>
    </comment>
    <comment ref="BO138" authorId="2" shapeId="0">
      <text>
        <r>
          <rPr>
            <b/>
            <sz val="9"/>
            <color indexed="81"/>
            <rFont val="Tahoma"/>
            <family val="2"/>
          </rPr>
          <t>Administrator:</t>
        </r>
        <r>
          <rPr>
            <sz val="9"/>
            <color indexed="81"/>
            <rFont val="Tahoma"/>
            <family val="2"/>
          </rPr>
          <t xml:space="preserve">
TZ WB PER 2005, Table A6a</t>
        </r>
      </text>
    </comment>
    <comment ref="AC140" authorId="0" shapeId="0">
      <text>
        <r>
          <rPr>
            <b/>
            <sz val="9"/>
            <color indexed="81"/>
            <rFont val="Tahoma"/>
            <family val="2"/>
          </rPr>
          <t>Rebecca:</t>
        </r>
        <r>
          <rPr>
            <sz val="9"/>
            <color indexed="81"/>
            <rFont val="Tahoma"/>
            <family val="2"/>
          </rPr>
          <t xml:space="preserve">
TZ SA 1970, Table P.7
</t>
        </r>
      </text>
    </comment>
    <comment ref="AF140" authorId="0" shapeId="0">
      <text>
        <r>
          <rPr>
            <b/>
            <sz val="9"/>
            <color indexed="81"/>
            <rFont val="Tahoma"/>
            <family val="2"/>
          </rPr>
          <t>Rebecca:</t>
        </r>
        <r>
          <rPr>
            <sz val="9"/>
            <color indexed="81"/>
            <rFont val="Tahoma"/>
            <family val="2"/>
          </rPr>
          <t xml:space="preserve">
TZ SA 1973, Table P.7</t>
        </r>
      </text>
    </comment>
    <comment ref="AM140" authorId="0" shapeId="0">
      <text>
        <r>
          <rPr>
            <b/>
            <sz val="9"/>
            <color indexed="81"/>
            <rFont val="Tahoma"/>
            <family val="2"/>
          </rPr>
          <t>Rebecca:</t>
        </r>
        <r>
          <rPr>
            <sz val="9"/>
            <color indexed="81"/>
            <rFont val="Tahoma"/>
            <family val="2"/>
          </rPr>
          <t xml:space="preserve">
TZ SA 1973-79, Table P.7</t>
        </r>
      </text>
    </comment>
    <comment ref="AS140" authorId="2" shapeId="0">
      <text>
        <r>
          <rPr>
            <b/>
            <sz val="9"/>
            <color indexed="81"/>
            <rFont val="Tahoma"/>
            <family val="2"/>
          </rPr>
          <t>Administrator:</t>
        </r>
        <r>
          <rPr>
            <sz val="9"/>
            <color indexed="81"/>
            <rFont val="Tahoma"/>
            <family val="2"/>
          </rPr>
          <t xml:space="preserve">
TZ IMF RED 1984, Appendix II, Table VIII.</t>
        </r>
      </text>
    </comment>
    <comment ref="AW140" authorId="2" shapeId="0">
      <text>
        <r>
          <rPr>
            <b/>
            <sz val="9"/>
            <color indexed="81"/>
            <rFont val="Tahoma"/>
            <family val="2"/>
          </rPr>
          <t>Administrator:</t>
        </r>
        <r>
          <rPr>
            <sz val="9"/>
            <color indexed="81"/>
            <rFont val="Tahoma"/>
            <family val="2"/>
          </rPr>
          <t xml:space="preserve">
TZ IMF RED 1985, Table X.</t>
        </r>
      </text>
    </comment>
    <comment ref="BL143" authorId="2" shapeId="0">
      <text>
        <r>
          <rPr>
            <b/>
            <sz val="9"/>
            <color indexed="81"/>
            <rFont val="Tahoma"/>
            <family val="2"/>
          </rPr>
          <t>Administrator:</t>
        </r>
        <r>
          <rPr>
            <sz val="9"/>
            <color indexed="81"/>
            <rFont val="Tahoma"/>
            <family val="2"/>
          </rPr>
          <t xml:space="preserve">
Recapitalization of banks has been excluded from expenditure total (1998/99 - 2001/02)</t>
        </r>
      </text>
    </comment>
    <comment ref="Y152" authorId="2" shapeId="0">
      <text>
        <r>
          <rPr>
            <b/>
            <sz val="9"/>
            <color indexed="81"/>
            <rFont val="Tahoma"/>
            <family val="2"/>
          </rPr>
          <t>Administrator:</t>
        </r>
        <r>
          <rPr>
            <sz val="9"/>
            <color indexed="81"/>
            <rFont val="Tahoma"/>
            <family val="2"/>
          </rPr>
          <t xml:space="preserve">
TZ IMF ARTICLE IV 1965, Table 1.</t>
        </r>
      </text>
    </comment>
    <comment ref="AC153" authorId="2" shapeId="0">
      <text>
        <r>
          <rPr>
            <b/>
            <sz val="9"/>
            <color indexed="81"/>
            <rFont val="Tahoma"/>
            <family val="2"/>
          </rPr>
          <t>Administrator:</t>
        </r>
        <r>
          <rPr>
            <sz val="9"/>
            <color indexed="81"/>
            <rFont val="Tahoma"/>
            <family val="2"/>
          </rPr>
          <t xml:space="preserve">
TZ WB EM 1977, Table 3
(data for 1964-75)
(Originally from the govt's Natl accounts 1964-72 document)</t>
        </r>
      </text>
    </comment>
    <comment ref="AN153" authorId="2" shapeId="0">
      <text>
        <r>
          <rPr>
            <b/>
            <sz val="9"/>
            <color indexed="81"/>
            <rFont val="Tahoma"/>
            <family val="2"/>
          </rPr>
          <t>Administrator:</t>
        </r>
        <r>
          <rPr>
            <sz val="9"/>
            <color indexed="81"/>
            <rFont val="Tahoma"/>
            <family val="2"/>
          </rPr>
          <t xml:space="preserve">
TZ WB EM 1984, Statistical Appendix, Table 2.1</t>
        </r>
      </text>
    </comment>
    <comment ref="AQ153" authorId="2" shapeId="0">
      <text>
        <r>
          <rPr>
            <b/>
            <sz val="9"/>
            <color indexed="81"/>
            <rFont val="Tahoma"/>
            <family val="2"/>
          </rPr>
          <t>Administrator:</t>
        </r>
        <r>
          <rPr>
            <sz val="9"/>
            <color indexed="81"/>
            <rFont val="Tahoma"/>
            <family val="2"/>
          </rPr>
          <t xml:space="preserve">
TZ WB EM 1984, Statistical Appendix, Table 2.1</t>
        </r>
      </text>
    </comment>
    <comment ref="AO154" authorId="2" shapeId="0">
      <text>
        <r>
          <rPr>
            <b/>
            <sz val="9"/>
            <color indexed="81"/>
            <rFont val="Tahoma"/>
            <family val="2"/>
          </rPr>
          <t>Administrator:</t>
        </r>
        <r>
          <rPr>
            <sz val="9"/>
            <color indexed="81"/>
            <rFont val="Tahoma"/>
            <family val="2"/>
          </rPr>
          <t xml:space="preserve">
TZ WB PER 1991, Vol II, Statistical Appendix, Table 7.</t>
        </r>
      </text>
    </comment>
    <comment ref="AZ154" authorId="2" shapeId="0">
      <text>
        <r>
          <rPr>
            <b/>
            <sz val="9"/>
            <color indexed="81"/>
            <rFont val="Tahoma"/>
            <family val="2"/>
          </rPr>
          <t>Administrator:</t>
        </r>
        <r>
          <rPr>
            <sz val="9"/>
            <color indexed="81"/>
            <rFont val="Tahoma"/>
            <family val="2"/>
          </rPr>
          <t xml:space="preserve">
TZ IMF SA 1995, Table 1</t>
        </r>
      </text>
    </comment>
    <comment ref="Z158" authorId="2" shapeId="0">
      <text>
        <r>
          <rPr>
            <b/>
            <sz val="9"/>
            <color indexed="81"/>
            <rFont val="Tahoma"/>
            <family val="2"/>
          </rPr>
          <t>Administrator:</t>
        </r>
        <r>
          <rPr>
            <sz val="9"/>
            <color indexed="81"/>
            <rFont val="Tahoma"/>
            <family val="2"/>
          </rPr>
          <t xml:space="preserve">
TZ IMF ARTICLE IV 1968</t>
        </r>
      </text>
    </comment>
    <comment ref="AE158" authorId="2" shapeId="0">
      <text>
        <r>
          <rPr>
            <b/>
            <sz val="9"/>
            <color indexed="81"/>
            <rFont val="Tahoma"/>
            <family val="2"/>
          </rPr>
          <t>Administrator:</t>
        </r>
        <r>
          <rPr>
            <sz val="9"/>
            <color indexed="81"/>
            <rFont val="Tahoma"/>
            <family val="2"/>
          </rPr>
          <t xml:space="preserve">
TZ IMF RED 1972</t>
        </r>
      </text>
    </comment>
    <comment ref="AO158" authorId="2" shapeId="0">
      <text>
        <r>
          <rPr>
            <b/>
            <sz val="9"/>
            <color indexed="81"/>
            <rFont val="Tahoma"/>
            <family val="2"/>
          </rPr>
          <t>Administrator:</t>
        </r>
        <r>
          <rPr>
            <sz val="9"/>
            <color indexed="81"/>
            <rFont val="Tahoma"/>
            <family val="2"/>
          </rPr>
          <t xml:space="preserve">
TZ WB PER 1991, Vol. II</t>
        </r>
      </text>
    </comment>
    <comment ref="AY158" authorId="2" shapeId="0">
      <text>
        <r>
          <rPr>
            <b/>
            <sz val="9"/>
            <color indexed="81"/>
            <rFont val="Tahoma"/>
            <family val="2"/>
          </rPr>
          <t>Administrator:</t>
        </r>
        <r>
          <rPr>
            <sz val="9"/>
            <color indexed="81"/>
            <rFont val="Tahoma"/>
            <family val="2"/>
          </rPr>
          <t xml:space="preserve">
TZ IMF RED 1994</t>
        </r>
      </text>
    </comment>
    <comment ref="C160" authorId="2" shapeId="0">
      <text>
        <r>
          <rPr>
            <b/>
            <sz val="9"/>
            <color indexed="81"/>
            <rFont val="Tahoma"/>
            <family val="2"/>
          </rPr>
          <t>Administrator:</t>
        </r>
        <r>
          <rPr>
            <sz val="9"/>
            <color indexed="81"/>
            <rFont val="Tahoma"/>
            <family val="2"/>
          </rPr>
          <t xml:space="preserve">
Applies private consumption:GDP ratio (using contemporary GDP series), to new GDP estimates.</t>
        </r>
      </text>
    </comment>
    <comment ref="N162" authorId="2" shapeId="0">
      <text>
        <r>
          <rPr>
            <b/>
            <sz val="9"/>
            <color indexed="81"/>
            <rFont val="Tahoma"/>
            <family val="2"/>
          </rPr>
          <t>Administrator:</t>
        </r>
        <r>
          <rPr>
            <sz val="9"/>
            <color indexed="81"/>
            <rFont val="Tahoma"/>
            <family val="2"/>
          </rPr>
          <t xml:space="preserve">
Jackson, 1979, Table 1.</t>
        </r>
      </text>
    </comment>
    <comment ref="Z164" authorId="0" shapeId="0">
      <text>
        <r>
          <rPr>
            <b/>
            <sz val="9"/>
            <color indexed="81"/>
            <rFont val="Tahoma"/>
            <family val="2"/>
          </rPr>
          <t>Rebecca:</t>
        </r>
        <r>
          <rPr>
            <sz val="9"/>
            <color indexed="81"/>
            <rFont val="Tahoma"/>
            <family val="2"/>
          </rPr>
          <t xml:space="preserve">
TZ MANPOWER 1975</t>
        </r>
      </text>
    </comment>
    <comment ref="AH164" authorId="2" shapeId="0">
      <text>
        <r>
          <rPr>
            <b/>
            <sz val="9"/>
            <color indexed="81"/>
            <rFont val="Tahoma"/>
            <family val="2"/>
          </rPr>
          <t>Administrator:</t>
        </r>
        <r>
          <rPr>
            <sz val="9"/>
            <color indexed="81"/>
            <rFont val="Tahoma"/>
            <family val="2"/>
          </rPr>
          <t xml:space="preserve">
Think this is the change in the school system effect - move to 7-4-2-3 system</t>
        </r>
      </text>
    </comment>
    <comment ref="AO164" authorId="2" shapeId="0">
      <text>
        <r>
          <rPr>
            <b/>
            <sz val="9"/>
            <color indexed="81"/>
            <rFont val="Tahoma"/>
            <family val="2"/>
          </rPr>
          <t>Administrator:</t>
        </r>
        <r>
          <rPr>
            <sz val="9"/>
            <color indexed="81"/>
            <rFont val="Tahoma"/>
            <family val="2"/>
          </rPr>
          <t xml:space="preserve">
TZ ES 1977/78</t>
        </r>
      </text>
    </comment>
    <comment ref="AR164" authorId="0" shapeId="0">
      <text>
        <r>
          <rPr>
            <b/>
            <sz val="9"/>
            <color indexed="81"/>
            <rFont val="Tahoma"/>
            <family val="2"/>
          </rPr>
          <t>Rebecca:</t>
        </r>
        <r>
          <rPr>
            <sz val="9"/>
            <color indexed="81"/>
            <rFont val="Tahoma"/>
            <family val="2"/>
          </rPr>
          <t xml:space="preserve">
TZ ES 1991/92</t>
        </r>
      </text>
    </comment>
    <comment ref="BM164" authorId="2" shapeId="0">
      <text>
        <r>
          <rPr>
            <b/>
            <sz val="9"/>
            <color indexed="81"/>
            <rFont val="Tahoma"/>
            <family val="2"/>
          </rPr>
          <t>Administrator:</t>
        </r>
        <r>
          <rPr>
            <sz val="9"/>
            <color indexed="81"/>
            <rFont val="Tahoma"/>
            <family val="2"/>
          </rPr>
          <t xml:space="preserve">
TZ UNESCO 2011</t>
        </r>
      </text>
    </comment>
    <comment ref="BQ164" authorId="2" shapeId="0">
      <text>
        <r>
          <rPr>
            <b/>
            <sz val="9"/>
            <color indexed="81"/>
            <rFont val="Tahoma"/>
            <family val="2"/>
          </rPr>
          <t>Administrator:</t>
        </r>
        <r>
          <rPr>
            <sz val="9"/>
            <color indexed="81"/>
            <rFont val="Tahoma"/>
            <family val="2"/>
          </rPr>
          <t xml:space="preserve">
TZ BEST 2014
(public and private)</t>
        </r>
      </text>
    </comment>
    <comment ref="BM168" authorId="2" shapeId="0">
      <text>
        <r>
          <rPr>
            <b/>
            <sz val="9"/>
            <color indexed="81"/>
            <rFont val="Tahoma"/>
            <family val="2"/>
          </rPr>
          <t>Administrator:</t>
        </r>
        <r>
          <rPr>
            <sz val="9"/>
            <color indexed="81"/>
            <rFont val="Tahoma"/>
            <family val="2"/>
          </rPr>
          <t xml:space="preserve">
TZ UNESCO 2011</t>
        </r>
      </text>
    </comment>
    <comment ref="BQ168" authorId="2" shapeId="0">
      <text>
        <r>
          <rPr>
            <b/>
            <sz val="9"/>
            <color indexed="81"/>
            <rFont val="Tahoma"/>
            <family val="2"/>
          </rPr>
          <t>Administrator:</t>
        </r>
        <r>
          <rPr>
            <sz val="9"/>
            <color indexed="81"/>
            <rFont val="Tahoma"/>
            <family val="2"/>
          </rPr>
          <t xml:space="preserve">
TZ BEST 2014</t>
        </r>
      </text>
    </comment>
    <comment ref="Z169" authorId="0" shapeId="0">
      <text>
        <r>
          <rPr>
            <b/>
            <sz val="9"/>
            <color indexed="81"/>
            <rFont val="Tahoma"/>
            <family val="2"/>
          </rPr>
          <t>Rebecca:</t>
        </r>
        <r>
          <rPr>
            <sz val="9"/>
            <color indexed="81"/>
            <rFont val="Tahoma"/>
            <family val="2"/>
          </rPr>
          <t xml:space="preserve">
TZ MANPOWER 1975</t>
        </r>
      </text>
    </comment>
    <comment ref="AO169" authorId="2" shapeId="0">
      <text>
        <r>
          <rPr>
            <b/>
            <sz val="9"/>
            <color indexed="81"/>
            <rFont val="Tahoma"/>
            <family val="2"/>
          </rPr>
          <t>Administrator:</t>
        </r>
        <r>
          <rPr>
            <sz val="9"/>
            <color indexed="81"/>
            <rFont val="Tahoma"/>
            <family val="2"/>
          </rPr>
          <t xml:space="preserve">
TZ ES 1977/78</t>
        </r>
      </text>
    </comment>
    <comment ref="AR169" authorId="0" shapeId="0">
      <text>
        <r>
          <rPr>
            <b/>
            <sz val="9"/>
            <color indexed="81"/>
            <rFont val="Tahoma"/>
            <family val="2"/>
          </rPr>
          <t>Rebecca:</t>
        </r>
        <r>
          <rPr>
            <sz val="9"/>
            <color indexed="81"/>
            <rFont val="Tahoma"/>
            <family val="2"/>
          </rPr>
          <t xml:space="preserve">
TZ ES 1991/92</t>
        </r>
      </text>
    </comment>
    <comment ref="BM170" authorId="2" shapeId="0">
      <text>
        <r>
          <rPr>
            <b/>
            <sz val="9"/>
            <color indexed="81"/>
            <rFont val="Tahoma"/>
            <family val="2"/>
          </rPr>
          <t>Administrator:</t>
        </r>
        <r>
          <rPr>
            <sz val="9"/>
            <color indexed="81"/>
            <rFont val="Tahoma"/>
            <family val="2"/>
          </rPr>
          <t xml:space="preserve">
Public and private combined! Form I-IV</t>
        </r>
      </text>
    </comment>
    <comment ref="BQ170" authorId="2" shapeId="0">
      <text>
        <r>
          <rPr>
            <b/>
            <sz val="9"/>
            <color indexed="81"/>
            <rFont val="Tahoma"/>
            <family val="2"/>
          </rPr>
          <t>Administrator:</t>
        </r>
        <r>
          <rPr>
            <sz val="9"/>
            <color indexed="81"/>
            <rFont val="Tahoma"/>
            <family val="2"/>
          </rPr>
          <t xml:space="preserve">
Form I- IV</t>
        </r>
      </text>
    </comment>
    <comment ref="AR171" authorId="2" shapeId="0">
      <text>
        <r>
          <rPr>
            <b/>
            <sz val="9"/>
            <color indexed="81"/>
            <rFont val="Tahoma"/>
            <family val="2"/>
          </rPr>
          <t>Administrator:</t>
        </r>
        <r>
          <rPr>
            <sz val="9"/>
            <color indexed="81"/>
            <rFont val="Tahoma"/>
            <family val="2"/>
          </rPr>
          <t xml:space="preserve">
From here and on - 1991/92 economic survey</t>
        </r>
      </text>
    </comment>
    <comment ref="BQ174" authorId="2" shapeId="0">
      <text>
        <r>
          <rPr>
            <b/>
            <sz val="9"/>
            <color indexed="81"/>
            <rFont val="Tahoma"/>
            <family val="2"/>
          </rPr>
          <t>Administrator:</t>
        </r>
        <r>
          <rPr>
            <sz val="9"/>
            <color indexed="81"/>
            <rFont val="Tahoma"/>
            <family val="2"/>
          </rPr>
          <t xml:space="preserve">
Form V-VI</t>
        </r>
      </text>
    </comment>
    <comment ref="AO177" authorId="2" shapeId="0">
      <text>
        <r>
          <rPr>
            <b/>
            <sz val="9"/>
            <color indexed="81"/>
            <rFont val="Tahoma"/>
            <family val="2"/>
          </rPr>
          <t>Administrator:</t>
        </r>
        <r>
          <rPr>
            <sz val="9"/>
            <color indexed="81"/>
            <rFont val="Tahoma"/>
            <family val="2"/>
          </rPr>
          <t xml:space="preserve">
TZ ES 1977/78</t>
        </r>
      </text>
    </comment>
    <comment ref="AR177" authorId="0" shapeId="0">
      <text>
        <r>
          <rPr>
            <b/>
            <sz val="9"/>
            <color indexed="81"/>
            <rFont val="Tahoma"/>
            <family val="2"/>
          </rPr>
          <t>Rebecca:</t>
        </r>
        <r>
          <rPr>
            <sz val="9"/>
            <color indexed="81"/>
            <rFont val="Tahoma"/>
            <family val="2"/>
          </rPr>
          <t xml:space="preserve">
TZ ES 1991/92</t>
        </r>
      </text>
    </comment>
    <comment ref="BQ178" authorId="2" shapeId="0">
      <text>
        <r>
          <rPr>
            <b/>
            <sz val="9"/>
            <color indexed="81"/>
            <rFont val="Tahoma"/>
            <family val="2"/>
          </rPr>
          <t>Administrator:</t>
        </r>
        <r>
          <rPr>
            <sz val="9"/>
            <color indexed="81"/>
            <rFont val="Tahoma"/>
            <family val="2"/>
          </rPr>
          <t xml:space="preserve">
Form I- IV</t>
        </r>
      </text>
    </comment>
    <comment ref="BQ182" authorId="2" shapeId="0">
      <text>
        <r>
          <rPr>
            <b/>
            <sz val="9"/>
            <color indexed="81"/>
            <rFont val="Tahoma"/>
            <family val="2"/>
          </rPr>
          <t>Administrator:</t>
        </r>
        <r>
          <rPr>
            <sz val="9"/>
            <color indexed="81"/>
            <rFont val="Tahoma"/>
            <family val="2"/>
          </rPr>
          <t xml:space="preserve">
Form V -VI</t>
        </r>
      </text>
    </comment>
    <comment ref="AI185" authorId="2" shapeId="0">
      <text>
        <r>
          <rPr>
            <b/>
            <sz val="9"/>
            <color indexed="81"/>
            <rFont val="Tahoma"/>
            <family val="2"/>
          </rPr>
          <t>Administrator:</t>
        </r>
        <r>
          <rPr>
            <sz val="9"/>
            <color indexed="81"/>
            <rFont val="Tahoma"/>
            <family val="2"/>
          </rPr>
          <t xml:space="preserve">
Break in series, lack data on EA uni and overseas enrollments.</t>
        </r>
      </text>
    </comment>
    <comment ref="BM187" authorId="2" shapeId="0">
      <text>
        <r>
          <rPr>
            <b/>
            <sz val="9"/>
            <color indexed="81"/>
            <rFont val="Tahoma"/>
            <family val="2"/>
          </rPr>
          <t>Administrator:</t>
        </r>
        <r>
          <rPr>
            <sz val="9"/>
            <color indexed="81"/>
            <rFont val="Tahoma"/>
            <family val="2"/>
          </rPr>
          <t xml:space="preserve">
TZ UNESCO 2011</t>
        </r>
      </text>
    </comment>
    <comment ref="BS187" authorId="2" shapeId="0">
      <text>
        <r>
          <rPr>
            <b/>
            <sz val="9"/>
            <color indexed="81"/>
            <rFont val="Tahoma"/>
            <family val="2"/>
          </rPr>
          <t>Administrator:</t>
        </r>
        <r>
          <rPr>
            <sz val="9"/>
            <color indexed="81"/>
            <rFont val="Tahoma"/>
            <family val="2"/>
          </rPr>
          <t xml:space="preserve">
BEST 2009
Includes diploma and Grade A courses, public and private.
Cited: http://www.sussex.ac.uk/cie/projects/completed/tpa/tanzania</t>
        </r>
      </text>
    </comment>
    <comment ref="AB192" authorId="0" shapeId="0">
      <text>
        <r>
          <rPr>
            <b/>
            <sz val="9"/>
            <color indexed="81"/>
            <rFont val="Tahoma"/>
            <family val="2"/>
          </rPr>
          <t>Rebecca:</t>
        </r>
        <r>
          <rPr>
            <sz val="9"/>
            <color indexed="81"/>
            <rFont val="Tahoma"/>
            <family val="2"/>
          </rPr>
          <t xml:space="preserve">
TZ SA 1964, Table U.8</t>
        </r>
      </text>
    </comment>
    <comment ref="AE192" authorId="0" shapeId="0">
      <text>
        <r>
          <rPr>
            <b/>
            <sz val="9"/>
            <color indexed="81"/>
            <rFont val="Tahoma"/>
            <family val="2"/>
          </rPr>
          <t>Rebecca:</t>
        </r>
        <r>
          <rPr>
            <sz val="9"/>
            <color indexed="81"/>
            <rFont val="Tahoma"/>
            <family val="2"/>
          </rPr>
          <t xml:space="preserve">
TZ SA 1970, Table U.14</t>
        </r>
      </text>
    </comment>
    <comment ref="AE193" authorId="0" shapeId="0">
      <text>
        <r>
          <rPr>
            <b/>
            <sz val="9"/>
            <color indexed="81"/>
            <rFont val="Tahoma"/>
            <family val="2"/>
          </rPr>
          <t>Rebecca:</t>
        </r>
        <r>
          <rPr>
            <sz val="9"/>
            <color indexed="81"/>
            <rFont val="Tahoma"/>
            <family val="2"/>
          </rPr>
          <t xml:space="preserve">
TZ SA 1970, Table U.14</t>
        </r>
      </text>
    </comment>
    <comment ref="AF194" authorId="2" shapeId="0">
      <text>
        <r>
          <rPr>
            <b/>
            <sz val="9"/>
            <color indexed="81"/>
            <rFont val="Tahoma"/>
            <family val="2"/>
          </rPr>
          <t>Administrator:</t>
        </r>
        <r>
          <rPr>
            <sz val="9"/>
            <color indexed="81"/>
            <rFont val="Tahoma"/>
            <family val="2"/>
          </rPr>
          <t xml:space="preserve">
TZ ES 1978/79 (?)</t>
        </r>
      </text>
    </comment>
    <comment ref="AB196" authorId="0" shapeId="0">
      <text>
        <r>
          <rPr>
            <b/>
            <sz val="9"/>
            <color indexed="81"/>
            <rFont val="Tahoma"/>
            <family val="2"/>
          </rPr>
          <t>Rebecca:</t>
        </r>
        <r>
          <rPr>
            <sz val="9"/>
            <color indexed="81"/>
            <rFont val="Tahoma"/>
            <family val="2"/>
          </rPr>
          <t xml:space="preserve">
TZ SA 1964, Table U.8</t>
        </r>
      </text>
    </comment>
    <comment ref="AE196" authorId="0" shapeId="0">
      <text>
        <r>
          <rPr>
            <b/>
            <sz val="9"/>
            <color indexed="81"/>
            <rFont val="Tahoma"/>
            <family val="2"/>
          </rPr>
          <t>Rebecca:</t>
        </r>
        <r>
          <rPr>
            <sz val="9"/>
            <color indexed="81"/>
            <rFont val="Tahoma"/>
            <family val="2"/>
          </rPr>
          <t xml:space="preserve">
TZ SA 1970, Table U.15</t>
        </r>
      </text>
    </comment>
    <comment ref="AE197" authorId="0" shapeId="0">
      <text>
        <r>
          <rPr>
            <b/>
            <sz val="9"/>
            <color indexed="81"/>
            <rFont val="Tahoma"/>
            <family val="2"/>
          </rPr>
          <t>Rebecca:</t>
        </r>
        <r>
          <rPr>
            <sz val="9"/>
            <color indexed="81"/>
            <rFont val="Tahoma"/>
            <family val="2"/>
          </rPr>
          <t xml:space="preserve">
TZ SA 1970, Table U.15</t>
        </r>
      </text>
    </comment>
    <comment ref="BP201" authorId="2" shapeId="0">
      <text>
        <r>
          <rPr>
            <b/>
            <sz val="9"/>
            <color indexed="81"/>
            <rFont val="Tahoma"/>
            <family val="2"/>
          </rPr>
          <t>Administrator:</t>
        </r>
        <r>
          <rPr>
            <sz val="9"/>
            <color indexed="81"/>
            <rFont val="Tahoma"/>
            <family val="2"/>
          </rPr>
          <t xml:space="preserve">
TZ UNESCO 2011</t>
        </r>
      </text>
    </comment>
    <comment ref="CC201" authorId="2" shapeId="0">
      <text>
        <r>
          <rPr>
            <b/>
            <sz val="9"/>
            <color indexed="81"/>
            <rFont val="Tahoma"/>
            <family val="2"/>
          </rPr>
          <t>Administrator:</t>
        </r>
        <r>
          <rPr>
            <sz val="9"/>
            <color indexed="81"/>
            <rFont val="Tahoma"/>
            <family val="2"/>
          </rPr>
          <t xml:space="preserve">
MEST, University student enrollment degree and non-degree [dataset], 2016</t>
        </r>
      </text>
    </comment>
    <comment ref="BS202" authorId="2" shapeId="0">
      <text>
        <r>
          <rPr>
            <b/>
            <sz val="9"/>
            <color indexed="81"/>
            <rFont val="Tahoma"/>
            <family val="2"/>
          </rPr>
          <t>Administrator:</t>
        </r>
        <r>
          <rPr>
            <sz val="9"/>
            <color indexed="81"/>
            <rFont val="Tahoma"/>
            <family val="2"/>
          </rPr>
          <t xml:space="preserve">
TZ UNESCO 2011</t>
        </r>
      </text>
    </comment>
    <comment ref="BS203" authorId="2" shapeId="0">
      <text>
        <r>
          <rPr>
            <b/>
            <sz val="9"/>
            <color indexed="81"/>
            <rFont val="Tahoma"/>
            <family val="2"/>
          </rPr>
          <t>Administrator:</t>
        </r>
        <r>
          <rPr>
            <sz val="9"/>
            <color indexed="81"/>
            <rFont val="Tahoma"/>
            <family val="2"/>
          </rPr>
          <t xml:space="preserve">
TZ UNESCO 2011</t>
        </r>
      </text>
    </comment>
  </commentList>
</comments>
</file>

<file path=xl/comments3.xml><?xml version="1.0" encoding="utf-8"?>
<comments xmlns="http://schemas.openxmlformats.org/spreadsheetml/2006/main">
  <authors>
    <author>Rebecca</author>
    <author>Administrator</author>
    <author>Howard Simson</author>
  </authors>
  <commentList>
    <comment ref="W1" authorId="0" shapeId="0">
      <text>
        <r>
          <rPr>
            <b/>
            <sz val="9"/>
            <color indexed="81"/>
            <rFont val="Tahoma"/>
            <family val="2"/>
          </rPr>
          <t>Rebecca:</t>
        </r>
        <r>
          <rPr>
            <sz val="9"/>
            <color indexed="81"/>
            <rFont val="Tahoma"/>
            <family val="2"/>
          </rPr>
          <t xml:space="preserve">
Intro of new fiscal year</t>
        </r>
      </text>
    </comment>
    <comment ref="BC2" authorId="1" shapeId="0">
      <text>
        <r>
          <rPr>
            <b/>
            <sz val="9"/>
            <color indexed="81"/>
            <rFont val="Tahoma"/>
            <family val="2"/>
          </rPr>
          <t>Administrator:</t>
        </r>
        <r>
          <rPr>
            <sz val="9"/>
            <color indexed="81"/>
            <rFont val="Tahoma"/>
            <family val="2"/>
          </rPr>
          <t xml:space="preserve">
Currency reform, two zeros removed from the Shilling.</t>
        </r>
      </text>
    </comment>
    <comment ref="D5" authorId="1" shapeId="0">
      <text>
        <r>
          <rPr>
            <b/>
            <sz val="9"/>
            <color indexed="81"/>
            <rFont val="Tahoma"/>
            <family val="2"/>
          </rPr>
          <t>Administrator:</t>
        </r>
        <r>
          <rPr>
            <sz val="9"/>
            <color indexed="81"/>
            <rFont val="Tahoma"/>
            <family val="2"/>
          </rPr>
          <t xml:space="preserve">
Frankema and Jerven</t>
        </r>
      </text>
    </comment>
    <comment ref="AB5" authorId="0" shapeId="0">
      <text>
        <r>
          <rPr>
            <b/>
            <sz val="9"/>
            <color indexed="81"/>
            <rFont val="Tahoma"/>
            <family val="2"/>
          </rPr>
          <t>Rebecca:</t>
        </r>
        <r>
          <rPr>
            <sz val="9"/>
            <color indexed="81"/>
            <rFont val="Tahoma"/>
            <family val="2"/>
          </rPr>
          <t xml:space="preserve">
Shift to WDI pop series </t>
        </r>
      </text>
    </comment>
    <comment ref="N7" authorId="1" shapeId="0">
      <text>
        <r>
          <rPr>
            <b/>
            <sz val="9"/>
            <color indexed="81"/>
            <rFont val="Tahoma"/>
            <family val="2"/>
          </rPr>
          <t>Administrator:</t>
        </r>
        <r>
          <rPr>
            <sz val="9"/>
            <color indexed="81"/>
            <rFont val="Tahoma"/>
            <family val="2"/>
          </rPr>
          <t xml:space="preserve">
Assumed at 1960 share</t>
        </r>
      </text>
    </comment>
    <comment ref="S9" authorId="0" shapeId="0">
      <text>
        <r>
          <rPr>
            <b/>
            <sz val="9"/>
            <color indexed="81"/>
            <rFont val="Tahoma"/>
            <family val="2"/>
          </rPr>
          <t>Rebecca:</t>
        </r>
        <r>
          <rPr>
            <sz val="9"/>
            <color indexed="81"/>
            <rFont val="Tahoma"/>
            <family val="2"/>
          </rPr>
          <t xml:space="preserve">
UG SA 1957, Table UO.1</t>
        </r>
      </text>
    </comment>
    <comment ref="V9" authorId="0" shapeId="0">
      <text>
        <r>
          <rPr>
            <b/>
            <sz val="9"/>
            <color indexed="81"/>
            <rFont val="Tahoma"/>
            <family val="2"/>
          </rPr>
          <t>Rebecca:</t>
        </r>
        <r>
          <rPr>
            <sz val="9"/>
            <color indexed="81"/>
            <rFont val="Tahoma"/>
            <family val="2"/>
          </rPr>
          <t xml:space="preserve">
UG SA 1958, Table UO.1</t>
        </r>
      </text>
    </comment>
    <comment ref="Z9" authorId="0" shapeId="0">
      <text>
        <r>
          <rPr>
            <b/>
            <sz val="9"/>
            <color indexed="81"/>
            <rFont val="Tahoma"/>
            <family val="2"/>
          </rPr>
          <t>Rebecca:</t>
        </r>
        <r>
          <rPr>
            <sz val="9"/>
            <color indexed="81"/>
            <rFont val="Tahoma"/>
            <family val="2"/>
          </rPr>
          <t xml:space="preserve">
UG SA 1962, Table UP.1</t>
        </r>
      </text>
    </comment>
    <comment ref="AD9" authorId="0" shapeId="0">
      <text>
        <r>
          <rPr>
            <b/>
            <sz val="9"/>
            <color indexed="81"/>
            <rFont val="Tahoma"/>
            <family val="2"/>
          </rPr>
          <t>Rebecca:</t>
        </r>
        <r>
          <rPr>
            <sz val="9"/>
            <color indexed="81"/>
            <rFont val="Tahoma"/>
            <family val="2"/>
          </rPr>
          <t xml:space="preserve">
UG SA 1966, Table UP.1</t>
        </r>
      </text>
    </comment>
    <comment ref="AH9" authorId="0" shapeId="0">
      <text>
        <r>
          <rPr>
            <b/>
            <sz val="9"/>
            <color indexed="81"/>
            <rFont val="Tahoma"/>
            <family val="2"/>
          </rPr>
          <t>Rebecca:</t>
        </r>
        <r>
          <rPr>
            <sz val="9"/>
            <color indexed="81"/>
            <rFont val="Tahoma"/>
            <family val="2"/>
          </rPr>
          <t xml:space="preserve">
UG SA 1970, Table UP.2</t>
        </r>
      </text>
    </comment>
    <comment ref="AL9" authorId="0" shapeId="0">
      <text>
        <r>
          <rPr>
            <b/>
            <sz val="9"/>
            <color indexed="81"/>
            <rFont val="Tahoma"/>
            <family val="2"/>
          </rPr>
          <t>Rebecca:</t>
        </r>
        <r>
          <rPr>
            <sz val="9"/>
            <color indexed="81"/>
            <rFont val="Tahoma"/>
            <family val="2"/>
          </rPr>
          <t xml:space="preserve">
UG SA 1971, Table P.2</t>
        </r>
      </text>
    </comment>
    <comment ref="AM9" authorId="0" shapeId="0">
      <text>
        <r>
          <rPr>
            <b/>
            <sz val="9"/>
            <color indexed="81"/>
            <rFont val="Tahoma"/>
            <family val="2"/>
          </rPr>
          <t>Rebecca:</t>
        </r>
        <r>
          <rPr>
            <sz val="9"/>
            <color indexed="81"/>
            <rFont val="Tahoma"/>
            <family val="2"/>
          </rPr>
          <t xml:space="preserve">
UG BTB 1982/83, Table 1.18 
(Years 1966-1977 incl.)
Also reported in the 
 commonwealth report (1979), chapter on manpower.</t>
        </r>
      </text>
    </comment>
    <comment ref="BD9" authorId="1" shapeId="0">
      <text>
        <r>
          <rPr>
            <b/>
            <sz val="9"/>
            <color indexed="81"/>
            <rFont val="Tahoma"/>
            <family val="2"/>
          </rPr>
          <t>Administrator:</t>
        </r>
        <r>
          <rPr>
            <sz val="9"/>
            <color indexed="81"/>
            <rFont val="Tahoma"/>
            <family val="2"/>
          </rPr>
          <t xml:space="preserve">
UG BTB 1989/90, Table 34; UG WB PER 1993a, p.104.
(Also provides a breakdown by occupational level) </t>
        </r>
      </text>
    </comment>
    <comment ref="Y10" authorId="0" shapeId="0">
      <text>
        <r>
          <rPr>
            <b/>
            <sz val="9"/>
            <color indexed="81"/>
            <rFont val="Tahoma"/>
            <family val="2"/>
          </rPr>
          <t>Rebecca:</t>
        </r>
        <r>
          <rPr>
            <sz val="9"/>
            <color indexed="81"/>
            <rFont val="Tahoma"/>
            <family val="2"/>
          </rPr>
          <t xml:space="preserve">
Data improvements in 1957 mean that this data is not directly comparable to the earlier series. Earlier series understates private sector empl.</t>
        </r>
      </text>
    </comment>
    <comment ref="AP10" authorId="0" shapeId="0">
      <text>
        <r>
          <rPr>
            <b/>
            <sz val="9"/>
            <color indexed="81"/>
            <rFont val="Tahoma"/>
            <family val="2"/>
          </rPr>
          <t>Rebecca:</t>
        </r>
        <r>
          <rPr>
            <sz val="9"/>
            <color indexed="81"/>
            <rFont val="Tahoma"/>
            <family val="2"/>
          </rPr>
          <t xml:space="preserve">
New series from BtB 1982/83 - 1973 total estimated at 166. Same data is reported in the commonwealth report (1979), chapter on manpower</t>
        </r>
      </text>
    </comment>
    <comment ref="Q11" authorId="1" shapeId="0">
      <text>
        <r>
          <rPr>
            <b/>
            <sz val="9"/>
            <color indexed="81"/>
            <rFont val="Tahoma"/>
            <family val="2"/>
          </rPr>
          <t>Administrator:</t>
        </r>
        <r>
          <rPr>
            <sz val="9"/>
            <color indexed="81"/>
            <rFont val="Tahoma"/>
            <family val="2"/>
          </rPr>
          <t xml:space="preserve">
UG EAL 1949</t>
        </r>
      </text>
    </comment>
    <comment ref="AM11" authorId="1" shapeId="0">
      <text>
        <r>
          <rPr>
            <b/>
            <sz val="9"/>
            <color indexed="81"/>
            <rFont val="Tahoma"/>
            <family val="2"/>
          </rPr>
          <t>Administrator:</t>
        </r>
        <r>
          <rPr>
            <sz val="9"/>
            <color indexed="81"/>
            <rFont val="Tahoma"/>
            <family val="2"/>
          </rPr>
          <t xml:space="preserve">
Estimated assuming steady number of non-African employees</t>
        </r>
      </text>
    </comment>
    <comment ref="BD11" authorId="1" shapeId="0">
      <text>
        <r>
          <rPr>
            <b/>
            <sz val="9"/>
            <color indexed="81"/>
            <rFont val="Tahoma"/>
            <family val="2"/>
          </rPr>
          <t>Administrator:</t>
        </r>
        <r>
          <rPr>
            <sz val="9"/>
            <color indexed="81"/>
            <rFont val="Tahoma"/>
            <family val="2"/>
          </rPr>
          <t xml:space="preserve">
Incl. 53.6 in parastatals</t>
        </r>
      </text>
    </comment>
    <comment ref="C13" authorId="1" shapeId="0">
      <text>
        <r>
          <rPr>
            <b/>
            <sz val="9"/>
            <color indexed="81"/>
            <rFont val="Tahoma"/>
            <family val="2"/>
          </rPr>
          <t>Administrator:</t>
        </r>
        <r>
          <rPr>
            <sz val="9"/>
            <color indexed="81"/>
            <rFont val="Tahoma"/>
            <family val="2"/>
          </rPr>
          <t xml:space="preserve">
General government. Includes central, local govt and EAC parastatals.</t>
        </r>
      </text>
    </comment>
    <comment ref="AH13" authorId="0" shapeId="0">
      <text>
        <r>
          <rPr>
            <b/>
            <sz val="9"/>
            <color indexed="81"/>
            <rFont val="Tahoma"/>
            <family val="2"/>
          </rPr>
          <t>Rebecca:</t>
        </r>
        <r>
          <rPr>
            <sz val="9"/>
            <color indexed="81"/>
            <rFont val="Tahoma"/>
            <family val="2"/>
          </rPr>
          <t xml:space="preserve">
Fall in local govt empl and construction empl - guessing this is because of Buganda crisis, federalisation etc.</t>
        </r>
      </text>
    </comment>
    <comment ref="AL13" authorId="0" shapeId="0">
      <text>
        <r>
          <rPr>
            <b/>
            <sz val="9"/>
            <color indexed="81"/>
            <rFont val="Tahoma"/>
            <family val="2"/>
          </rPr>
          <t>Rebecca:</t>
        </r>
        <r>
          <rPr>
            <sz val="9"/>
            <color indexed="81"/>
            <rFont val="Tahoma"/>
            <family val="2"/>
          </rPr>
          <t xml:space="preserve">
Based on comments in the commonwealth manpower report 1979, it seems that parastatal employment is not included in this total. A bit unclear however...</t>
        </r>
      </text>
    </comment>
    <comment ref="AS13" authorId="1" shapeId="0">
      <text>
        <r>
          <rPr>
            <b/>
            <sz val="9"/>
            <color indexed="81"/>
            <rFont val="Tahoma"/>
            <family val="2"/>
          </rPr>
          <t>Administrator:</t>
        </r>
        <r>
          <rPr>
            <sz val="9"/>
            <color indexed="81"/>
            <rFont val="Tahoma"/>
            <family val="2"/>
          </rPr>
          <t xml:space="preserve">
Last year of EES data??</t>
        </r>
      </text>
    </comment>
    <comment ref="AU13" authorId="1" shapeId="0">
      <text>
        <r>
          <rPr>
            <b/>
            <sz val="9"/>
            <color indexed="81"/>
            <rFont val="Tahoma"/>
            <family val="2"/>
          </rPr>
          <t>Administrator:</t>
        </r>
        <r>
          <rPr>
            <sz val="9"/>
            <color indexed="81"/>
            <rFont val="Tahoma"/>
            <family val="2"/>
          </rPr>
          <t xml:space="preserve">
UG COMMONWEALTH 1979</t>
        </r>
      </text>
    </comment>
    <comment ref="BC13" authorId="0" shapeId="0">
      <text>
        <r>
          <rPr>
            <b/>
            <sz val="9"/>
            <color indexed="81"/>
            <rFont val="Tahoma"/>
            <family val="2"/>
          </rPr>
          <t xml:space="preserve">Rebecca:
</t>
        </r>
        <r>
          <rPr>
            <sz val="9"/>
            <color indexed="81"/>
            <rFont val="Tahoma"/>
            <family val="2"/>
          </rPr>
          <t>UG BTB 1989/90, Table 32.
Reported as total number employed in civil service, incl. Group employees. Originally from the census of civil servants, 1988. (It includes civil servants, teaching service, district admin, urban authorities and group employees.)</t>
        </r>
      </text>
    </comment>
    <comment ref="BF13" authorId="1" shapeId="0">
      <text>
        <r>
          <rPr>
            <b/>
            <sz val="9"/>
            <color indexed="81"/>
            <rFont val="Tahoma"/>
            <family val="2"/>
          </rPr>
          <t>Administrator:</t>
        </r>
        <r>
          <rPr>
            <sz val="9"/>
            <color indexed="81"/>
            <rFont val="Tahoma"/>
            <family val="2"/>
          </rPr>
          <t xml:space="preserve">
UG WB PER 1993, p.103
(World Bank report speculates that this includes parastatal employees, but cannot tell for sure.)
+ other sources? According to 1994 report on public service reform:
Edu: 120,000
Civil service: 70,000
Police and prisons: 20,000
Group empl.: 110,000
Supposedly then excludes district level staff? 
However, when looking at the numbers rationalised, it doesn't add up. More people seem to be removed by 1993 than the narrative suggests were actually fired or removed as ghosts.</t>
        </r>
      </text>
    </comment>
    <comment ref="Q14" authorId="1" shapeId="0">
      <text>
        <r>
          <rPr>
            <b/>
            <sz val="9"/>
            <color indexed="81"/>
            <rFont val="Tahoma"/>
            <family val="2"/>
          </rPr>
          <t>Administrator:</t>
        </r>
        <r>
          <rPr>
            <sz val="9"/>
            <color indexed="81"/>
            <rFont val="Tahoma"/>
            <family val="2"/>
          </rPr>
          <t xml:space="preserve">
UG EAL 1949</t>
        </r>
      </text>
    </comment>
    <comment ref="AM14" authorId="1" shapeId="0">
      <text>
        <r>
          <rPr>
            <b/>
            <sz val="9"/>
            <color indexed="81"/>
            <rFont val="Tahoma"/>
            <family val="2"/>
          </rPr>
          <t>Administrator:</t>
        </r>
        <r>
          <rPr>
            <sz val="9"/>
            <color indexed="81"/>
            <rFont val="Tahoma"/>
            <family val="2"/>
          </rPr>
          <t xml:space="preserve">
Estimated assuming steady number of non-African employees</t>
        </r>
      </text>
    </comment>
    <comment ref="Q15" authorId="1" shapeId="0">
      <text>
        <r>
          <rPr>
            <b/>
            <sz val="9"/>
            <color indexed="81"/>
            <rFont val="Tahoma"/>
            <family val="2"/>
          </rPr>
          <t>Administrator:</t>
        </r>
        <r>
          <rPr>
            <sz val="9"/>
            <color indexed="81"/>
            <rFont val="Tahoma"/>
            <family val="2"/>
          </rPr>
          <t xml:space="preserve">
UG CENSUS 1948</t>
        </r>
      </text>
    </comment>
    <comment ref="AU17" authorId="1" shapeId="0">
      <text>
        <r>
          <rPr>
            <b/>
            <sz val="9"/>
            <color indexed="81"/>
            <rFont val="Tahoma"/>
            <family val="2"/>
          </rPr>
          <t>Administrator:</t>
        </r>
        <r>
          <rPr>
            <sz val="9"/>
            <color indexed="81"/>
            <rFont val="Tahoma"/>
            <family val="2"/>
          </rPr>
          <t xml:space="preserve">
UG COMMONWEALTH 1979</t>
        </r>
      </text>
    </comment>
    <comment ref="BC17" authorId="1" shapeId="0">
      <text>
        <r>
          <rPr>
            <b/>
            <sz val="9"/>
            <color indexed="81"/>
            <rFont val="Tahoma"/>
            <family val="2"/>
          </rPr>
          <t>Administrator:</t>
        </r>
        <r>
          <rPr>
            <sz val="9"/>
            <color indexed="81"/>
            <rFont val="Tahoma"/>
            <family val="2"/>
          </rPr>
          <t xml:space="preserve">
1987 census of civil servants (july), reported in ILO 1989 report w. more detail, and in the 1989/90 background to the budget (in UG report folder).
Established staff: 137
O/w permanent: 93
Temporary: 39
Other: 3
Not known: 1
Group employees: 103
Background to the budget incl. district breakdown.
ILO study also includes data on wages!</t>
        </r>
      </text>
    </comment>
    <comment ref="BF17" authorId="1" shapeId="0">
      <text>
        <r>
          <rPr>
            <b/>
            <sz val="9"/>
            <color indexed="81"/>
            <rFont val="Tahoma"/>
            <family val="2"/>
          </rPr>
          <t>Administrator:</t>
        </r>
        <r>
          <rPr>
            <sz val="9"/>
            <color indexed="81"/>
            <rFont val="Tahoma"/>
            <family val="2"/>
          </rPr>
          <t xml:space="preserve">
Sendyona, 2010
+ other sources? According to 1994 report on public service reform:
Edu: 120,000
Civil service: 70,000
Police and prisons: 20,000
Group empl.: 110,000
Supposedly then excludes district level staff? 
However, when looking at the numbers rationalised, it doesn't add up. More people seem to be removed by 1993 than the narrative suggests were actually fired or removed as ghosts.</t>
        </r>
      </text>
    </comment>
    <comment ref="BH17" authorId="1" shapeId="0">
      <text>
        <r>
          <rPr>
            <b/>
            <sz val="9"/>
            <color indexed="81"/>
            <rFont val="Tahoma"/>
            <family val="2"/>
          </rPr>
          <t>Administrator:</t>
        </r>
        <r>
          <rPr>
            <sz val="9"/>
            <color indexed="81"/>
            <rFont val="Tahoma"/>
            <family val="2"/>
          </rPr>
          <t xml:space="preserve">
UG WB SSS 1993, Table III.4 (unclear what traditional civil service includes in this measure)</t>
        </r>
      </text>
    </comment>
    <comment ref="BI17" authorId="1" shapeId="0">
      <text>
        <r>
          <rPr>
            <b/>
            <sz val="9"/>
            <color indexed="81"/>
            <rFont val="Tahoma"/>
            <family val="2"/>
          </rPr>
          <t>Administrator:</t>
        </r>
        <r>
          <rPr>
            <sz val="9"/>
            <color indexed="81"/>
            <rFont val="Tahoma"/>
            <family val="2"/>
          </rPr>
          <t xml:space="preserve">
UG IMF SA 1998, Table 4 (June)</t>
        </r>
      </text>
    </comment>
    <comment ref="BM17" authorId="1" shapeId="0">
      <text>
        <r>
          <rPr>
            <b/>
            <sz val="9"/>
            <color indexed="81"/>
            <rFont val="Tahoma"/>
            <family val="2"/>
          </rPr>
          <t>Administrator:</t>
        </r>
        <r>
          <rPr>
            <sz val="9"/>
            <color indexed="81"/>
            <rFont val="Tahoma"/>
            <family val="2"/>
          </rPr>
          <t xml:space="preserve">
UG SA 2002, Table 2.3B</t>
        </r>
      </text>
    </comment>
    <comment ref="BR17" authorId="1" shapeId="0">
      <text>
        <r>
          <rPr>
            <b/>
            <sz val="9"/>
            <color indexed="81"/>
            <rFont val="Tahoma"/>
            <family val="2"/>
          </rPr>
          <t>Administrator:</t>
        </r>
        <r>
          <rPr>
            <sz val="9"/>
            <color indexed="81"/>
            <rFont val="Tahoma"/>
            <family val="2"/>
          </rPr>
          <t xml:space="preserve">
UG SA 2005, Table 2.3K</t>
        </r>
      </text>
    </comment>
    <comment ref="BU17" authorId="1" shapeId="0">
      <text>
        <r>
          <rPr>
            <b/>
            <sz val="9"/>
            <color indexed="81"/>
            <rFont val="Tahoma"/>
            <family val="2"/>
          </rPr>
          <t>Administrator:</t>
        </r>
        <r>
          <rPr>
            <sz val="9"/>
            <color indexed="81"/>
            <rFont val="Tahoma"/>
            <family val="2"/>
          </rPr>
          <t xml:space="preserve">
UG SA 2010, Table 2.3l</t>
        </r>
      </text>
    </comment>
    <comment ref="BZ17" authorId="1" shapeId="0">
      <text>
        <r>
          <rPr>
            <b/>
            <sz val="9"/>
            <color indexed="81"/>
            <rFont val="Tahoma"/>
            <family val="2"/>
          </rPr>
          <t>Administrator:</t>
        </r>
        <r>
          <rPr>
            <sz val="9"/>
            <color indexed="81"/>
            <rFont val="Tahoma"/>
            <family val="2"/>
          </rPr>
          <t xml:space="preserve">
UG SA 2014, Table 2.3H</t>
        </r>
      </text>
    </comment>
    <comment ref="CC17" authorId="1" shapeId="0">
      <text>
        <r>
          <rPr>
            <b/>
            <sz val="9"/>
            <color indexed="81"/>
            <rFont val="Tahoma"/>
            <family val="2"/>
          </rPr>
          <t>Administrator:</t>
        </r>
        <r>
          <rPr>
            <sz val="9"/>
            <color indexed="81"/>
            <rFont val="Tahoma"/>
            <family val="2"/>
          </rPr>
          <t xml:space="preserve">
UG SA 2016, Table 2.3.10</t>
        </r>
      </text>
    </comment>
    <comment ref="BH18" authorId="1" shapeId="0">
      <text>
        <r>
          <rPr>
            <b/>
            <sz val="9"/>
            <color indexed="81"/>
            <rFont val="Tahoma"/>
            <family val="2"/>
          </rPr>
          <t>Administrator:</t>
        </r>
        <r>
          <rPr>
            <sz val="9"/>
            <color indexed="81"/>
            <rFont val="Tahoma"/>
            <family val="2"/>
          </rPr>
          <t xml:space="preserve">
UG WB SSS 1993, Table III.4 (unclear what traditional civil service includes in this measure)</t>
        </r>
      </text>
    </comment>
    <comment ref="BT18" authorId="1" shapeId="0">
      <text>
        <r>
          <rPr>
            <b/>
            <sz val="9"/>
            <color indexed="81"/>
            <rFont val="Tahoma"/>
            <family val="2"/>
          </rPr>
          <t>Administrator:</t>
        </r>
        <r>
          <rPr>
            <sz val="9"/>
            <color indexed="81"/>
            <rFont val="Tahoma"/>
            <family val="2"/>
          </rPr>
          <t xml:space="preserve">
Note, subtotal error in published SA. Has been corrected here.</t>
        </r>
      </text>
    </comment>
    <comment ref="BS23" authorId="1" shapeId="0">
      <text>
        <r>
          <rPr>
            <b/>
            <sz val="9"/>
            <color indexed="81"/>
            <rFont val="Tahoma"/>
            <family val="2"/>
          </rPr>
          <t>Administrator:</t>
        </r>
        <r>
          <rPr>
            <sz val="9"/>
            <color indexed="81"/>
            <rFont val="Tahoma"/>
            <family val="2"/>
          </rPr>
          <t xml:space="preserve">
Exercise ongoing to classify staff correctly</t>
        </r>
      </text>
    </comment>
    <comment ref="BH24" authorId="1" shapeId="0">
      <text>
        <r>
          <rPr>
            <b/>
            <sz val="9"/>
            <color indexed="81"/>
            <rFont val="Tahoma"/>
            <family val="2"/>
          </rPr>
          <t>Administrator:</t>
        </r>
        <r>
          <rPr>
            <sz val="9"/>
            <color indexed="81"/>
            <rFont val="Tahoma"/>
            <family val="2"/>
          </rPr>
          <t xml:space="preserve">
Makerere only</t>
        </r>
      </text>
    </comment>
    <comment ref="BY30" authorId="1" shapeId="0">
      <text>
        <r>
          <rPr>
            <b/>
            <sz val="9"/>
            <color indexed="81"/>
            <rFont val="Tahoma"/>
            <family val="2"/>
          </rPr>
          <t>Administrator:</t>
        </r>
        <r>
          <rPr>
            <sz val="9"/>
            <color indexed="81"/>
            <rFont val="Tahoma"/>
            <family val="2"/>
          </rPr>
          <t xml:space="preserve">
UG NHS 2009/10</t>
        </r>
      </text>
    </comment>
    <comment ref="BH31" authorId="1" shapeId="0">
      <text>
        <r>
          <rPr>
            <b/>
            <sz val="9"/>
            <color indexed="81"/>
            <rFont val="Tahoma"/>
            <family val="2"/>
          </rPr>
          <t>Administrator:</t>
        </r>
        <r>
          <rPr>
            <sz val="9"/>
            <color indexed="81"/>
            <rFont val="Tahoma"/>
            <family val="2"/>
          </rPr>
          <t xml:space="preserve">
UG IHS 1992
(Based only on those reporting pubemp in past 30 days (as opposed to full year)</t>
        </r>
      </text>
    </comment>
    <comment ref="BM31" authorId="1" shapeId="0">
      <text>
        <r>
          <rPr>
            <b/>
            <sz val="9"/>
            <color indexed="81"/>
            <rFont val="Tahoma"/>
            <family val="2"/>
          </rPr>
          <t>Administrator:</t>
        </r>
        <r>
          <rPr>
            <sz val="9"/>
            <color indexed="81"/>
            <rFont val="Tahoma"/>
            <family val="2"/>
          </rPr>
          <t xml:space="preserve">
UG HNS 1996</t>
        </r>
      </text>
    </comment>
    <comment ref="BS31" authorId="1" shapeId="0">
      <text>
        <r>
          <rPr>
            <b/>
            <sz val="9"/>
            <color indexed="81"/>
            <rFont val="Tahoma"/>
            <family val="2"/>
          </rPr>
          <t>Administrator:</t>
        </r>
        <r>
          <rPr>
            <sz val="9"/>
            <color indexed="81"/>
            <rFont val="Tahoma"/>
            <family val="2"/>
          </rPr>
          <t xml:space="preserve">
UG LFS 2002/03
</t>
        </r>
      </text>
    </comment>
    <comment ref="BV31" authorId="1" shapeId="0">
      <text>
        <r>
          <rPr>
            <b/>
            <sz val="9"/>
            <color indexed="81"/>
            <rFont val="Tahoma"/>
            <family val="2"/>
          </rPr>
          <t>Administrator:</t>
        </r>
        <r>
          <rPr>
            <sz val="9"/>
            <color indexed="81"/>
            <rFont val="Tahoma"/>
            <family val="2"/>
          </rPr>
          <t xml:space="preserve">
UG NHS 2005/06
Total includes parastatals. Those in employment in last 7 days. 
</t>
        </r>
      </text>
    </comment>
    <comment ref="BY31" authorId="1" shapeId="0">
      <text>
        <r>
          <rPr>
            <b/>
            <sz val="9"/>
            <color indexed="81"/>
            <rFont val="Tahoma"/>
            <family val="2"/>
          </rPr>
          <t>Administrator:</t>
        </r>
        <r>
          <rPr>
            <sz val="9"/>
            <color indexed="81"/>
            <rFont val="Tahoma"/>
            <family val="2"/>
          </rPr>
          <t xml:space="preserve">
UG NHS 2009/10</t>
        </r>
      </text>
    </comment>
    <comment ref="BB34" authorId="1" shapeId="0">
      <text>
        <r>
          <rPr>
            <b/>
            <sz val="9"/>
            <color indexed="81"/>
            <rFont val="Tahoma"/>
            <family val="2"/>
          </rPr>
          <t>Administrator:</t>
        </r>
        <r>
          <rPr>
            <sz val="9"/>
            <color indexed="81"/>
            <rFont val="Tahoma"/>
            <family val="2"/>
          </rPr>
          <t xml:space="preserve">
23000 additional estimated to be in paramilitary forces - peoples militia and armed police special forces. 
Opposition forces estimated at roughly 6,000.</t>
        </r>
      </text>
    </comment>
    <comment ref="BE34" authorId="1" shapeId="0">
      <text>
        <r>
          <rPr>
            <b/>
            <sz val="9"/>
            <color indexed="81"/>
            <rFont val="Tahoma"/>
            <family val="2"/>
          </rPr>
          <t>Administrator:</t>
        </r>
        <r>
          <rPr>
            <sz val="9"/>
            <color indexed="81"/>
            <rFont val="Tahoma"/>
            <family val="2"/>
          </rPr>
          <t xml:space="preserve">
Now incorporates surrendered UPDC and NRA</t>
        </r>
      </text>
    </comment>
    <comment ref="BI34" authorId="1" shapeId="0">
      <text>
        <r>
          <rPr>
            <b/>
            <sz val="9"/>
            <color indexed="81"/>
            <rFont val="Tahoma"/>
            <family val="2"/>
          </rPr>
          <t>Administrator:</t>
        </r>
        <r>
          <rPr>
            <sz val="9"/>
            <color indexed="81"/>
            <rFont val="Tahoma"/>
            <family val="2"/>
          </rPr>
          <t xml:space="preserve">
70 - 100,000
</t>
        </r>
      </text>
    </comment>
    <comment ref="BM34" authorId="1" shapeId="0">
      <text>
        <r>
          <rPr>
            <b/>
            <sz val="9"/>
            <color indexed="81"/>
            <rFont val="Tahoma"/>
            <family val="2"/>
          </rPr>
          <t>Administrator:</t>
        </r>
        <r>
          <rPr>
            <sz val="9"/>
            <color indexed="81"/>
            <rFont val="Tahoma"/>
            <family val="2"/>
          </rPr>
          <t xml:space="preserve">
40,000-55,000</t>
        </r>
      </text>
    </comment>
    <comment ref="BN34" authorId="1" shapeId="0">
      <text>
        <r>
          <rPr>
            <b/>
            <sz val="9"/>
            <color indexed="81"/>
            <rFont val="Tahoma"/>
            <family val="2"/>
          </rPr>
          <t>Administrator:</t>
        </r>
        <r>
          <rPr>
            <sz val="9"/>
            <color indexed="81"/>
            <rFont val="Tahoma"/>
            <family val="2"/>
          </rPr>
          <t xml:space="preserve">
30-40,000</t>
        </r>
      </text>
    </comment>
    <comment ref="BO34" authorId="1" shapeId="0">
      <text>
        <r>
          <rPr>
            <b/>
            <sz val="9"/>
            <color indexed="81"/>
            <rFont val="Tahoma"/>
            <family val="2"/>
          </rPr>
          <t>Administrator:</t>
        </r>
        <r>
          <rPr>
            <sz val="9"/>
            <color indexed="81"/>
            <rFont val="Tahoma"/>
            <family val="2"/>
          </rPr>
          <t xml:space="preserve">
50-60,000</t>
        </r>
      </text>
    </comment>
    <comment ref="BP34" authorId="1" shapeId="0">
      <text>
        <r>
          <rPr>
            <b/>
            <sz val="9"/>
            <color indexed="81"/>
            <rFont val="Tahoma"/>
            <family val="2"/>
          </rPr>
          <t>Administrator:</t>
        </r>
        <r>
          <rPr>
            <sz val="9"/>
            <color indexed="81"/>
            <rFont val="Tahoma"/>
            <family val="2"/>
          </rPr>
          <t xml:space="preserve">
50-60,000</t>
        </r>
      </text>
    </comment>
    <comment ref="BQ34" authorId="1" shapeId="0">
      <text>
        <r>
          <rPr>
            <b/>
            <sz val="9"/>
            <color indexed="81"/>
            <rFont val="Tahoma"/>
            <family val="2"/>
          </rPr>
          <t>Administrator:</t>
        </r>
        <r>
          <rPr>
            <sz val="9"/>
            <color indexed="81"/>
            <rFont val="Tahoma"/>
            <family val="2"/>
          </rPr>
          <t xml:space="preserve">
50-60,000</t>
        </r>
      </text>
    </comment>
    <comment ref="BR34" authorId="1" shapeId="0">
      <text>
        <r>
          <rPr>
            <b/>
            <sz val="9"/>
            <color indexed="81"/>
            <rFont val="Tahoma"/>
            <family val="2"/>
          </rPr>
          <t>Administrator:</t>
        </r>
        <r>
          <rPr>
            <sz val="9"/>
            <color indexed="81"/>
            <rFont val="Tahoma"/>
            <family val="2"/>
          </rPr>
          <t xml:space="preserve">
50-60,000</t>
        </r>
      </text>
    </comment>
    <comment ref="X35" authorId="0" shapeId="0">
      <text>
        <r>
          <rPr>
            <b/>
            <sz val="9"/>
            <color indexed="81"/>
            <rFont val="Tahoma"/>
            <family val="2"/>
          </rPr>
          <t>Rebecca:</t>
        </r>
        <r>
          <rPr>
            <sz val="9"/>
            <color indexed="81"/>
            <rFont val="Tahoma"/>
            <family val="2"/>
          </rPr>
          <t xml:space="preserve">
UG SA 1957, Table UQ.4</t>
        </r>
      </text>
    </comment>
    <comment ref="Y35" authorId="0" shapeId="0">
      <text>
        <r>
          <rPr>
            <b/>
            <sz val="9"/>
            <color indexed="81"/>
            <rFont val="Tahoma"/>
            <family val="2"/>
          </rPr>
          <t>Rebecca:</t>
        </r>
        <r>
          <rPr>
            <sz val="9"/>
            <color indexed="81"/>
            <rFont val="Tahoma"/>
            <family val="2"/>
          </rPr>
          <t xml:space="preserve">
UG SA 1958, UQ.4</t>
        </r>
      </text>
    </comment>
    <comment ref="Z35" authorId="0" shapeId="0">
      <text>
        <r>
          <rPr>
            <b/>
            <sz val="9"/>
            <color indexed="81"/>
            <rFont val="Tahoma"/>
            <family val="2"/>
          </rPr>
          <t>Rebecca:</t>
        </r>
        <r>
          <rPr>
            <sz val="9"/>
            <color indexed="81"/>
            <rFont val="Tahoma"/>
            <family val="2"/>
          </rPr>
          <t xml:space="preserve">
UG SA 1959, UQ.4</t>
        </r>
      </text>
    </comment>
    <comment ref="AA35" authorId="0" shapeId="0">
      <text>
        <r>
          <rPr>
            <b/>
            <sz val="9"/>
            <color indexed="81"/>
            <rFont val="Tahoma"/>
            <family val="2"/>
          </rPr>
          <t>Rebecca:</t>
        </r>
        <r>
          <rPr>
            <sz val="9"/>
            <color indexed="81"/>
            <rFont val="Tahoma"/>
            <family val="2"/>
          </rPr>
          <t xml:space="preserve">
UG SA 1960, UR.4</t>
        </r>
      </text>
    </comment>
    <comment ref="AB35" authorId="0" shapeId="0">
      <text>
        <r>
          <rPr>
            <b/>
            <sz val="9"/>
            <color indexed="81"/>
            <rFont val="Tahoma"/>
            <family val="2"/>
          </rPr>
          <t>Rebecca:</t>
        </r>
        <r>
          <rPr>
            <sz val="9"/>
            <color indexed="81"/>
            <rFont val="Tahoma"/>
            <family val="2"/>
          </rPr>
          <t xml:space="preserve">
UG SA 1961, Table UR.4</t>
        </r>
      </text>
    </comment>
    <comment ref="AC35" authorId="0" shapeId="0">
      <text>
        <r>
          <rPr>
            <b/>
            <sz val="9"/>
            <color indexed="81"/>
            <rFont val="Tahoma"/>
            <family val="2"/>
          </rPr>
          <t>Rebecca:</t>
        </r>
        <r>
          <rPr>
            <sz val="9"/>
            <color indexed="81"/>
            <rFont val="Tahoma"/>
            <family val="2"/>
          </rPr>
          <t xml:space="preserve">
UG SA 1962, Table UR.4</t>
        </r>
      </text>
    </comment>
    <comment ref="AE35" authorId="0" shapeId="0">
      <text>
        <r>
          <rPr>
            <b/>
            <sz val="9"/>
            <color indexed="81"/>
            <rFont val="Tahoma"/>
            <family val="2"/>
          </rPr>
          <t>Rebecca:</t>
        </r>
        <r>
          <rPr>
            <sz val="9"/>
            <color indexed="81"/>
            <rFont val="Tahoma"/>
            <family val="2"/>
          </rPr>
          <t xml:space="preserve">
UG SA 1964, Table UR.4</t>
        </r>
      </text>
    </comment>
    <comment ref="AF35" authorId="0" shapeId="0">
      <text>
        <r>
          <rPr>
            <b/>
            <sz val="9"/>
            <color indexed="81"/>
            <rFont val="Tahoma"/>
            <family val="2"/>
          </rPr>
          <t>Rebecca:</t>
        </r>
        <r>
          <rPr>
            <sz val="9"/>
            <color indexed="81"/>
            <rFont val="Tahoma"/>
            <family val="2"/>
          </rPr>
          <t xml:space="preserve">
UG SA 1965, Table UR.4</t>
        </r>
      </text>
    </comment>
    <comment ref="AG35" authorId="0" shapeId="0">
      <text>
        <r>
          <rPr>
            <b/>
            <sz val="9"/>
            <color indexed="81"/>
            <rFont val="Tahoma"/>
            <family val="2"/>
          </rPr>
          <t>Rebecca:</t>
        </r>
        <r>
          <rPr>
            <sz val="9"/>
            <color indexed="81"/>
            <rFont val="Tahoma"/>
            <family val="2"/>
          </rPr>
          <t xml:space="preserve">
UG SA 1966, Table UR.3</t>
        </r>
      </text>
    </comment>
    <comment ref="AH35" authorId="0" shapeId="0">
      <text>
        <r>
          <rPr>
            <b/>
            <sz val="9"/>
            <color indexed="81"/>
            <rFont val="Tahoma"/>
            <family val="2"/>
          </rPr>
          <t>Rebecca:</t>
        </r>
        <r>
          <rPr>
            <sz val="9"/>
            <color indexed="81"/>
            <rFont val="Tahoma"/>
            <family val="2"/>
          </rPr>
          <t xml:space="preserve">
UG SA 1970, Table UR.3 (years 1966-69)</t>
        </r>
      </text>
    </comment>
    <comment ref="AL35" authorId="0" shapeId="0">
      <text>
        <r>
          <rPr>
            <b/>
            <sz val="9"/>
            <color indexed="81"/>
            <rFont val="Tahoma"/>
            <family val="2"/>
          </rPr>
          <t>Rebecca:</t>
        </r>
        <r>
          <rPr>
            <sz val="9"/>
            <color indexed="81"/>
            <rFont val="Tahoma"/>
            <family val="2"/>
          </rPr>
          <t xml:space="preserve">
UG SA 1971, Table R.3</t>
        </r>
      </text>
    </comment>
    <comment ref="BA35" authorId="0" shapeId="0">
      <text>
        <r>
          <rPr>
            <b/>
            <sz val="9"/>
            <color indexed="81"/>
            <rFont val="Tahoma"/>
            <family val="2"/>
          </rPr>
          <t>Rebecca:</t>
        </r>
        <r>
          <rPr>
            <sz val="9"/>
            <color indexed="81"/>
            <rFont val="Tahoma"/>
            <family val="2"/>
          </rPr>
          <t xml:space="preserve">
UG BTB 1993/94, Table 75.</t>
        </r>
      </text>
    </comment>
    <comment ref="AN37" authorId="2" shapeId="0">
      <text>
        <r>
          <rPr>
            <b/>
            <sz val="9"/>
            <color indexed="81"/>
            <rFont val="Calibri"/>
            <family val="2"/>
          </rPr>
          <t>Howard Simson:</t>
        </r>
        <r>
          <rPr>
            <sz val="9"/>
            <color indexed="81"/>
            <rFont val="Calibri"/>
            <family val="2"/>
          </rPr>
          <t xml:space="preserve">
From here on - IMF RED 1976 and 77</t>
        </r>
      </text>
    </comment>
    <comment ref="T38" authorId="0" shapeId="0">
      <text>
        <r>
          <rPr>
            <b/>
            <sz val="9"/>
            <color indexed="81"/>
            <rFont val="Tahoma"/>
            <family val="2"/>
          </rPr>
          <t>Rebecca:</t>
        </r>
        <r>
          <rPr>
            <sz val="9"/>
            <color indexed="81"/>
            <rFont val="Tahoma"/>
            <family val="2"/>
          </rPr>
          <t xml:space="preserve">
UG SA 1957, Table UO.6</t>
        </r>
      </text>
    </comment>
    <comment ref="W38" authorId="0" shapeId="0">
      <text>
        <r>
          <rPr>
            <b/>
            <sz val="9"/>
            <color indexed="81"/>
            <rFont val="Tahoma"/>
            <family val="2"/>
          </rPr>
          <t>Rebecca:</t>
        </r>
        <r>
          <rPr>
            <sz val="9"/>
            <color indexed="81"/>
            <rFont val="Tahoma"/>
            <family val="2"/>
          </rPr>
          <t xml:space="preserve">
UG SA 1958, Table UO.6 (a)</t>
        </r>
      </text>
    </comment>
    <comment ref="Z38" authorId="0" shapeId="0">
      <text>
        <r>
          <rPr>
            <b/>
            <sz val="9"/>
            <color indexed="81"/>
            <rFont val="Tahoma"/>
            <family val="2"/>
          </rPr>
          <t>Rebecca:</t>
        </r>
        <r>
          <rPr>
            <sz val="9"/>
            <color indexed="81"/>
            <rFont val="Tahoma"/>
            <family val="2"/>
          </rPr>
          <t xml:space="preserve">
UG SA 1962, Table UP.6</t>
        </r>
      </text>
    </comment>
    <comment ref="AD38" authorId="0" shapeId="0">
      <text>
        <r>
          <rPr>
            <b/>
            <sz val="9"/>
            <color indexed="81"/>
            <rFont val="Tahoma"/>
            <family val="2"/>
          </rPr>
          <t>Rebecca:</t>
        </r>
        <r>
          <rPr>
            <sz val="9"/>
            <color indexed="81"/>
            <rFont val="Tahoma"/>
            <family val="2"/>
          </rPr>
          <t xml:space="preserve">
UG SA 1966, Table UP.6</t>
        </r>
      </text>
    </comment>
    <comment ref="AH38" authorId="0" shapeId="0">
      <text>
        <r>
          <rPr>
            <b/>
            <sz val="9"/>
            <color indexed="81"/>
            <rFont val="Tahoma"/>
            <family val="2"/>
          </rPr>
          <t>Rebecca:</t>
        </r>
        <r>
          <rPr>
            <sz val="9"/>
            <color indexed="81"/>
            <rFont val="Tahoma"/>
            <family val="2"/>
          </rPr>
          <t xml:space="preserve">
UG SA 1970, Table UP.6</t>
        </r>
      </text>
    </comment>
    <comment ref="AJ38" authorId="1" shapeId="0">
      <text>
        <r>
          <rPr>
            <b/>
            <sz val="9"/>
            <color indexed="81"/>
            <rFont val="Tahoma"/>
            <family val="2"/>
          </rPr>
          <t>Administrator:</t>
        </r>
        <r>
          <rPr>
            <sz val="9"/>
            <color indexed="81"/>
            <rFont val="Tahoma"/>
            <family val="2"/>
          </rPr>
          <t xml:space="preserve">
Big part of rise due to increased activity in buganda, splitting of district created new jobs. Weird pol fallout of abolition of kingdoms. But edu also incrased, and construction due to economic boom.</t>
        </r>
      </text>
    </comment>
    <comment ref="AL38" authorId="0" shapeId="0">
      <text>
        <r>
          <rPr>
            <b/>
            <sz val="9"/>
            <color indexed="81"/>
            <rFont val="Tahoma"/>
            <family val="2"/>
          </rPr>
          <t>Rebecca:</t>
        </r>
        <r>
          <rPr>
            <sz val="9"/>
            <color indexed="81"/>
            <rFont val="Tahoma"/>
            <family val="2"/>
          </rPr>
          <t xml:space="preserve">
UG SA 1971, Table P.6</t>
        </r>
      </text>
    </comment>
    <comment ref="W39" authorId="0" shapeId="0">
      <text>
        <r>
          <rPr>
            <b/>
            <sz val="9"/>
            <color indexed="81"/>
            <rFont val="Tahoma"/>
            <family val="2"/>
          </rPr>
          <t>Rebecca:</t>
        </r>
        <r>
          <rPr>
            <sz val="9"/>
            <color indexed="81"/>
            <rFont val="Tahoma"/>
            <family val="2"/>
          </rPr>
          <t xml:space="preserve">
UG EES 1955, Table 13b</t>
        </r>
      </text>
    </comment>
    <comment ref="X39" authorId="0" shapeId="0">
      <text>
        <r>
          <rPr>
            <b/>
            <sz val="9"/>
            <color indexed="81"/>
            <rFont val="Tahoma"/>
            <family val="2"/>
          </rPr>
          <t>Rebecca:</t>
        </r>
        <r>
          <rPr>
            <sz val="9"/>
            <color indexed="81"/>
            <rFont val="Tahoma"/>
            <family val="2"/>
          </rPr>
          <t xml:space="preserve">
UG EES 1956, Table 15</t>
        </r>
      </text>
    </comment>
    <comment ref="Y39" authorId="0" shapeId="0">
      <text>
        <r>
          <rPr>
            <b/>
            <sz val="9"/>
            <color indexed="81"/>
            <rFont val="Tahoma"/>
            <family val="2"/>
          </rPr>
          <t>Rebecca:</t>
        </r>
        <r>
          <rPr>
            <sz val="9"/>
            <color indexed="81"/>
            <rFont val="Tahoma"/>
            <family val="2"/>
          </rPr>
          <t xml:space="preserve">
UG EES 1957, Table 15</t>
        </r>
      </text>
    </comment>
    <comment ref="Z39" authorId="0" shapeId="0">
      <text>
        <r>
          <rPr>
            <b/>
            <sz val="9"/>
            <color indexed="81"/>
            <rFont val="Tahoma"/>
            <family val="2"/>
          </rPr>
          <t>Rebecca:</t>
        </r>
        <r>
          <rPr>
            <sz val="9"/>
            <color indexed="81"/>
            <rFont val="Tahoma"/>
            <family val="2"/>
          </rPr>
          <t xml:space="preserve">
UG EES 1958, Table 15</t>
        </r>
      </text>
    </comment>
    <comment ref="AA39" authorId="0" shapeId="0">
      <text>
        <r>
          <rPr>
            <b/>
            <sz val="9"/>
            <color indexed="81"/>
            <rFont val="Tahoma"/>
            <family val="2"/>
          </rPr>
          <t>Rebecca:</t>
        </r>
        <r>
          <rPr>
            <sz val="9"/>
            <color indexed="81"/>
            <rFont val="Tahoma"/>
            <family val="2"/>
          </rPr>
          <t xml:space="preserve">
UG EES 1959, Table 15</t>
        </r>
      </text>
    </comment>
    <comment ref="AB39" authorId="0" shapeId="0">
      <text>
        <r>
          <rPr>
            <b/>
            <sz val="9"/>
            <color indexed="81"/>
            <rFont val="Tahoma"/>
            <family val="2"/>
          </rPr>
          <t>Rebecca:</t>
        </r>
        <r>
          <rPr>
            <sz val="9"/>
            <color indexed="81"/>
            <rFont val="Tahoma"/>
            <family val="2"/>
          </rPr>
          <t xml:space="preserve">
UG EES 1960, Table 15</t>
        </r>
      </text>
    </comment>
    <comment ref="AC39" authorId="0" shapeId="0">
      <text>
        <r>
          <rPr>
            <b/>
            <sz val="9"/>
            <color indexed="81"/>
            <rFont val="Tahoma"/>
            <family val="2"/>
          </rPr>
          <t>Rebecca:</t>
        </r>
        <r>
          <rPr>
            <sz val="9"/>
            <color indexed="81"/>
            <rFont val="Tahoma"/>
            <family val="2"/>
          </rPr>
          <t xml:space="preserve">
UG SA 1962, UP.12</t>
        </r>
      </text>
    </comment>
    <comment ref="AD39" authorId="0" shapeId="0">
      <text>
        <r>
          <rPr>
            <b/>
            <sz val="9"/>
            <color indexed="81"/>
            <rFont val="Tahoma"/>
            <family val="2"/>
          </rPr>
          <t>Rebecca:</t>
        </r>
        <r>
          <rPr>
            <sz val="9"/>
            <color indexed="81"/>
            <rFont val="Tahoma"/>
            <family val="2"/>
          </rPr>
          <t xml:space="preserve">
UG SA 1963, UP.12</t>
        </r>
      </text>
    </comment>
    <comment ref="AE39" authorId="0" shapeId="0">
      <text>
        <r>
          <rPr>
            <b/>
            <sz val="9"/>
            <color indexed="81"/>
            <rFont val="Tahoma"/>
            <family val="2"/>
          </rPr>
          <t>Rebecca:</t>
        </r>
        <r>
          <rPr>
            <sz val="9"/>
            <color indexed="81"/>
            <rFont val="Tahoma"/>
            <family val="2"/>
          </rPr>
          <t xml:space="preserve">
UG SA 1964, UP.12</t>
        </r>
      </text>
    </comment>
    <comment ref="AF39" authorId="0" shapeId="0">
      <text>
        <r>
          <rPr>
            <b/>
            <sz val="9"/>
            <color indexed="81"/>
            <rFont val="Tahoma"/>
            <family val="2"/>
          </rPr>
          <t>Rebecca:</t>
        </r>
        <r>
          <rPr>
            <sz val="9"/>
            <color indexed="81"/>
            <rFont val="Tahoma"/>
            <family val="2"/>
          </rPr>
          <t xml:space="preserve">
UG SA 1965, UP.12</t>
        </r>
      </text>
    </comment>
    <comment ref="AG39" authorId="0" shapeId="0">
      <text>
        <r>
          <rPr>
            <b/>
            <sz val="9"/>
            <color indexed="81"/>
            <rFont val="Tahoma"/>
            <family val="2"/>
          </rPr>
          <t>Rebecca:</t>
        </r>
        <r>
          <rPr>
            <sz val="9"/>
            <color indexed="81"/>
            <rFont val="Tahoma"/>
            <family val="2"/>
          </rPr>
          <t xml:space="preserve">
UG SA 1966, UP.12</t>
        </r>
      </text>
    </comment>
    <comment ref="AH39" authorId="0" shapeId="0">
      <text>
        <r>
          <rPr>
            <b/>
            <sz val="9"/>
            <color indexed="81"/>
            <rFont val="Tahoma"/>
            <family val="2"/>
          </rPr>
          <t>Rebecca:</t>
        </r>
        <r>
          <rPr>
            <sz val="9"/>
            <color indexed="81"/>
            <rFont val="Tahoma"/>
            <family val="2"/>
          </rPr>
          <t xml:space="preserve">
UG SA 1967, UP.12</t>
        </r>
      </text>
    </comment>
    <comment ref="AI39" authorId="0" shapeId="0">
      <text>
        <r>
          <rPr>
            <b/>
            <sz val="9"/>
            <color indexed="81"/>
            <rFont val="Tahoma"/>
            <family val="2"/>
          </rPr>
          <t>Rebecca:</t>
        </r>
        <r>
          <rPr>
            <sz val="9"/>
            <color indexed="81"/>
            <rFont val="Tahoma"/>
            <family val="2"/>
          </rPr>
          <t xml:space="preserve">
UG SA 1968, UP.12</t>
        </r>
      </text>
    </comment>
    <comment ref="AJ39" authorId="0" shapeId="0">
      <text>
        <r>
          <rPr>
            <b/>
            <sz val="9"/>
            <color indexed="81"/>
            <rFont val="Tahoma"/>
            <family val="2"/>
          </rPr>
          <t>Rebecca:</t>
        </r>
        <r>
          <rPr>
            <sz val="9"/>
            <color indexed="81"/>
            <rFont val="Tahoma"/>
            <family val="2"/>
          </rPr>
          <t xml:space="preserve">
UG SA 1969, UP.12</t>
        </r>
      </text>
    </comment>
    <comment ref="AK39" authorId="0" shapeId="0">
      <text>
        <r>
          <rPr>
            <b/>
            <sz val="9"/>
            <color indexed="81"/>
            <rFont val="Tahoma"/>
            <family val="2"/>
          </rPr>
          <t>Rebecca:</t>
        </r>
        <r>
          <rPr>
            <sz val="9"/>
            <color indexed="81"/>
            <rFont val="Tahoma"/>
            <family val="2"/>
          </rPr>
          <t xml:space="preserve">
UG SA 1970, UP.12</t>
        </r>
      </text>
    </comment>
    <comment ref="AL39" authorId="0" shapeId="0">
      <text>
        <r>
          <rPr>
            <b/>
            <sz val="9"/>
            <color indexed="81"/>
            <rFont val="Tahoma"/>
            <family val="2"/>
          </rPr>
          <t>Rebecca:</t>
        </r>
        <r>
          <rPr>
            <sz val="9"/>
            <color indexed="81"/>
            <rFont val="Tahoma"/>
            <family val="2"/>
          </rPr>
          <t xml:space="preserve">
UG SA 1971, P.12</t>
        </r>
      </text>
    </comment>
    <comment ref="AM41" authorId="0" shapeId="0">
      <text>
        <r>
          <rPr>
            <b/>
            <sz val="9"/>
            <color indexed="81"/>
            <rFont val="Tahoma"/>
            <family val="2"/>
          </rPr>
          <t>Rebecca:</t>
        </r>
        <r>
          <rPr>
            <sz val="9"/>
            <color indexed="81"/>
            <rFont val="Tahoma"/>
            <family val="2"/>
          </rPr>
          <t xml:space="preserve">
From here on, African and non-African combined.</t>
        </r>
      </text>
    </comment>
    <comment ref="AE48" authorId="0" shapeId="0">
      <text>
        <r>
          <rPr>
            <b/>
            <sz val="9"/>
            <color indexed="81"/>
            <rFont val="Tahoma"/>
            <family val="2"/>
          </rPr>
          <t>Rebecca:</t>
        </r>
        <r>
          <rPr>
            <sz val="9"/>
            <color indexed="81"/>
            <rFont val="Tahoma"/>
            <family val="2"/>
          </rPr>
          <t xml:space="preserve">
Urban authorities ordinance transferred townships to local govt, accounts for some of this drop.</t>
        </r>
      </text>
    </comment>
    <comment ref="AM48" authorId="0" shapeId="0">
      <text>
        <r>
          <rPr>
            <b/>
            <sz val="9"/>
            <color indexed="81"/>
            <rFont val="Tahoma"/>
            <family val="2"/>
          </rPr>
          <t>Rebecca:</t>
        </r>
        <r>
          <rPr>
            <sz val="9"/>
            <color indexed="81"/>
            <rFont val="Tahoma"/>
            <family val="2"/>
          </rPr>
          <t xml:space="preserve">
Incl. Local govt</t>
        </r>
      </text>
    </comment>
    <comment ref="AE49" authorId="0" shapeId="0">
      <text>
        <r>
          <rPr>
            <b/>
            <sz val="9"/>
            <color indexed="81"/>
            <rFont val="Tahoma"/>
            <family val="2"/>
          </rPr>
          <t>Rebecca:</t>
        </r>
        <r>
          <rPr>
            <sz val="9"/>
            <color indexed="81"/>
            <rFont val="Tahoma"/>
            <family val="2"/>
          </rPr>
          <t xml:space="preserve">
Possibly misleading - seems there was a data collection problem in one district. This should probably be around 29</t>
        </r>
      </text>
    </comment>
    <comment ref="AG49" authorId="1" shapeId="0">
      <text>
        <r>
          <rPr>
            <b/>
            <sz val="9"/>
            <color indexed="81"/>
            <rFont val="Tahoma"/>
            <family val="2"/>
          </rPr>
          <t>Administrator:</t>
        </r>
        <r>
          <rPr>
            <sz val="9"/>
            <color indexed="81"/>
            <rFont val="Tahoma"/>
            <family val="2"/>
          </rPr>
          <t xml:space="preserve">
Fall due to tranfer of staff to construction industry (1965 enumeration report)</t>
        </r>
      </text>
    </comment>
    <comment ref="AH49" authorId="0" shapeId="0">
      <text>
        <r>
          <rPr>
            <b/>
            <sz val="9"/>
            <color indexed="81"/>
            <rFont val="Tahoma"/>
            <family val="2"/>
          </rPr>
          <t>Rebecca:</t>
        </r>
        <r>
          <rPr>
            <sz val="9"/>
            <color indexed="81"/>
            <rFont val="Tahoma"/>
            <family val="2"/>
          </rPr>
          <t xml:space="preserve">
They start splitting LG returns into respective departments, which changes numbers.</t>
        </r>
      </text>
    </comment>
    <comment ref="BF66" authorId="1" shapeId="0">
      <text>
        <r>
          <rPr>
            <b/>
            <sz val="9"/>
            <color indexed="81"/>
            <rFont val="Tahoma"/>
            <family val="2"/>
          </rPr>
          <t>Administrator:</t>
        </r>
        <r>
          <rPr>
            <sz val="9"/>
            <color indexed="81"/>
            <rFont val="Tahoma"/>
            <family val="2"/>
          </rPr>
          <t xml:space="preserve">
Downward revision of 320,000 estimate, assuming that this estimate included parastatals. See UG WB 1993, p.105.</t>
        </r>
      </text>
    </comment>
    <comment ref="W67" authorId="1" shapeId="0">
      <text>
        <r>
          <rPr>
            <b/>
            <sz val="9"/>
            <color indexed="81"/>
            <rFont val="Tahoma"/>
            <family val="2"/>
          </rPr>
          <t>Administrator:</t>
        </r>
        <r>
          <rPr>
            <sz val="9"/>
            <color indexed="81"/>
            <rFont val="Tahoma"/>
            <family val="2"/>
          </rPr>
          <t xml:space="preserve">
Assumed at 80% of 'education and medical services'</t>
        </r>
      </text>
    </comment>
    <comment ref="AL67" authorId="1" shapeId="0">
      <text>
        <r>
          <rPr>
            <b/>
            <sz val="9"/>
            <color indexed="81"/>
            <rFont val="Tahoma"/>
            <family val="2"/>
          </rPr>
          <t>Administrator:</t>
        </r>
        <r>
          <rPr>
            <sz val="9"/>
            <color indexed="81"/>
            <rFont val="Tahoma"/>
            <family val="2"/>
          </rPr>
          <t xml:space="preserve">
From here, all teachers in aided schools</t>
        </r>
      </text>
    </comment>
    <comment ref="BI67" authorId="1" shapeId="0">
      <text>
        <r>
          <rPr>
            <b/>
            <sz val="9"/>
            <color indexed="81"/>
            <rFont val="Tahoma"/>
            <family val="2"/>
          </rPr>
          <t>Administrator:</t>
        </r>
        <r>
          <rPr>
            <sz val="9"/>
            <color indexed="81"/>
            <rFont val="Tahoma"/>
            <family val="2"/>
          </rPr>
          <t xml:space="preserve">
From here, data from civil service enumeration.</t>
        </r>
      </text>
    </comment>
    <comment ref="W70" authorId="0" shapeId="0">
      <text>
        <r>
          <rPr>
            <b/>
            <sz val="9"/>
            <color indexed="81"/>
            <rFont val="Tahoma"/>
            <family val="2"/>
          </rPr>
          <t>Rebecca:</t>
        </r>
        <r>
          <rPr>
            <sz val="9"/>
            <color indexed="81"/>
            <rFont val="Tahoma"/>
            <family val="2"/>
          </rPr>
          <t xml:space="preserve">
UG EES 1955, Table 10a &amp; b, 13a &amp; b.</t>
        </r>
      </text>
    </comment>
    <comment ref="X70" authorId="0" shapeId="0">
      <text>
        <r>
          <rPr>
            <b/>
            <sz val="9"/>
            <color indexed="81"/>
            <rFont val="Tahoma"/>
            <family val="2"/>
          </rPr>
          <t>Rebecca:</t>
        </r>
        <r>
          <rPr>
            <sz val="9"/>
            <color indexed="81"/>
            <rFont val="Tahoma"/>
            <family val="2"/>
          </rPr>
          <t xml:space="preserve">
UG EES 1956, Tables 13-15</t>
        </r>
      </text>
    </comment>
    <comment ref="Y70" authorId="0" shapeId="0">
      <text>
        <r>
          <rPr>
            <b/>
            <sz val="9"/>
            <color indexed="81"/>
            <rFont val="Tahoma"/>
            <family val="2"/>
          </rPr>
          <t>Rebecca:</t>
        </r>
        <r>
          <rPr>
            <sz val="9"/>
            <color indexed="81"/>
            <rFont val="Tahoma"/>
            <family val="2"/>
          </rPr>
          <t xml:space="preserve">
UG EES 1957, Tables 13-15</t>
        </r>
      </text>
    </comment>
    <comment ref="Z70" authorId="0" shapeId="0">
      <text>
        <r>
          <rPr>
            <b/>
            <sz val="9"/>
            <color indexed="81"/>
            <rFont val="Tahoma"/>
            <family val="2"/>
          </rPr>
          <t>Rebecca:</t>
        </r>
        <r>
          <rPr>
            <sz val="9"/>
            <color indexed="81"/>
            <rFont val="Tahoma"/>
            <family val="2"/>
          </rPr>
          <t xml:space="preserve">
UG EES 1958, Tables 12-15</t>
        </r>
      </text>
    </comment>
    <comment ref="AA70" authorId="0" shapeId="0">
      <text>
        <r>
          <rPr>
            <b/>
            <sz val="9"/>
            <color indexed="81"/>
            <rFont val="Tahoma"/>
            <family val="2"/>
          </rPr>
          <t>Rebecca:</t>
        </r>
        <r>
          <rPr>
            <sz val="9"/>
            <color indexed="81"/>
            <rFont val="Tahoma"/>
            <family val="2"/>
          </rPr>
          <t xml:space="preserve">
UG EES 1959, Tables 12-15</t>
        </r>
      </text>
    </comment>
    <comment ref="AB70" authorId="0" shapeId="0">
      <text>
        <r>
          <rPr>
            <b/>
            <sz val="9"/>
            <color indexed="81"/>
            <rFont val="Tahoma"/>
            <family val="2"/>
          </rPr>
          <t>Rebecca:</t>
        </r>
        <r>
          <rPr>
            <sz val="9"/>
            <color indexed="81"/>
            <rFont val="Tahoma"/>
            <family val="2"/>
          </rPr>
          <t xml:space="preserve">
UG EES 1960, Tables 12-15</t>
        </r>
      </text>
    </comment>
    <comment ref="AC70" authorId="0" shapeId="0">
      <text>
        <r>
          <rPr>
            <b/>
            <sz val="9"/>
            <color indexed="81"/>
            <rFont val="Tahoma"/>
            <family val="2"/>
          </rPr>
          <t>Rebecca:</t>
        </r>
        <r>
          <rPr>
            <sz val="9"/>
            <color indexed="81"/>
            <rFont val="Tahoma"/>
            <family val="2"/>
          </rPr>
          <t xml:space="preserve">
UG SA 1962, Table UP.10 -12</t>
        </r>
      </text>
    </comment>
    <comment ref="AD70" authorId="0" shapeId="0">
      <text>
        <r>
          <rPr>
            <b/>
            <sz val="9"/>
            <color indexed="81"/>
            <rFont val="Tahoma"/>
            <family val="2"/>
          </rPr>
          <t>Rebecca:</t>
        </r>
        <r>
          <rPr>
            <sz val="9"/>
            <color indexed="81"/>
            <rFont val="Tahoma"/>
            <family val="2"/>
          </rPr>
          <t xml:space="preserve">
UG EES 1962, Tables 12-15</t>
        </r>
      </text>
    </comment>
    <comment ref="AE70" authorId="0" shapeId="0">
      <text>
        <r>
          <rPr>
            <b/>
            <sz val="9"/>
            <color indexed="81"/>
            <rFont val="Tahoma"/>
            <family val="2"/>
          </rPr>
          <t>Rebecca:</t>
        </r>
        <r>
          <rPr>
            <sz val="9"/>
            <color indexed="81"/>
            <rFont val="Tahoma"/>
            <family val="2"/>
          </rPr>
          <t xml:space="preserve">
UG SA 1964, Table UP.10 - 12</t>
        </r>
      </text>
    </comment>
    <comment ref="AF70" authorId="0" shapeId="0">
      <text>
        <r>
          <rPr>
            <b/>
            <sz val="9"/>
            <color indexed="81"/>
            <rFont val="Tahoma"/>
            <family val="2"/>
          </rPr>
          <t>Rebecca:</t>
        </r>
        <r>
          <rPr>
            <sz val="9"/>
            <color indexed="81"/>
            <rFont val="Tahoma"/>
            <family val="2"/>
          </rPr>
          <t xml:space="preserve">
UG SA 1965, Table UP.10 - 12</t>
        </r>
      </text>
    </comment>
    <comment ref="AG70" authorId="0" shapeId="0">
      <text>
        <r>
          <rPr>
            <b/>
            <sz val="9"/>
            <color indexed="81"/>
            <rFont val="Tahoma"/>
            <family val="2"/>
          </rPr>
          <t>Rebecca:</t>
        </r>
        <r>
          <rPr>
            <sz val="9"/>
            <color indexed="81"/>
            <rFont val="Tahoma"/>
            <family val="2"/>
          </rPr>
          <t xml:space="preserve">
UG SA 1966, Table UP.10 - 12</t>
        </r>
      </text>
    </comment>
    <comment ref="AH70" authorId="0" shapeId="0">
      <text>
        <r>
          <rPr>
            <b/>
            <sz val="9"/>
            <color indexed="81"/>
            <rFont val="Tahoma"/>
            <family val="2"/>
          </rPr>
          <t>Rebecca:</t>
        </r>
        <r>
          <rPr>
            <sz val="9"/>
            <color indexed="81"/>
            <rFont val="Tahoma"/>
            <family val="2"/>
          </rPr>
          <t xml:space="preserve">
UG EES 1966, Appendix XVI-XVIII</t>
        </r>
      </text>
    </comment>
    <comment ref="AI70" authorId="0" shapeId="0">
      <text>
        <r>
          <rPr>
            <b/>
            <sz val="9"/>
            <color indexed="81"/>
            <rFont val="Tahoma"/>
            <family val="2"/>
          </rPr>
          <t>Rebecca:</t>
        </r>
        <r>
          <rPr>
            <sz val="9"/>
            <color indexed="81"/>
            <rFont val="Tahoma"/>
            <family val="2"/>
          </rPr>
          <t xml:space="preserve">
UG EES 1967, Appendix XVI-XVIII</t>
        </r>
      </text>
    </comment>
    <comment ref="AJ70" authorId="0" shapeId="0">
      <text>
        <r>
          <rPr>
            <b/>
            <sz val="9"/>
            <color indexed="81"/>
            <rFont val="Tahoma"/>
            <family val="2"/>
          </rPr>
          <t>Rebecca:</t>
        </r>
        <r>
          <rPr>
            <sz val="9"/>
            <color indexed="81"/>
            <rFont val="Tahoma"/>
            <family val="2"/>
          </rPr>
          <t xml:space="preserve">
UG EES 1968, Appendix XVI-XVIII</t>
        </r>
      </text>
    </comment>
    <comment ref="AK70" authorId="0" shapeId="0">
      <text>
        <r>
          <rPr>
            <b/>
            <sz val="9"/>
            <color indexed="81"/>
            <rFont val="Tahoma"/>
            <family val="2"/>
          </rPr>
          <t>Rebecca:</t>
        </r>
        <r>
          <rPr>
            <sz val="9"/>
            <color indexed="81"/>
            <rFont val="Tahoma"/>
            <family val="2"/>
          </rPr>
          <t xml:space="preserve">
UG SA 1970, Tables UP.10-12</t>
        </r>
      </text>
    </comment>
    <comment ref="AL70" authorId="0" shapeId="0">
      <text>
        <r>
          <rPr>
            <b/>
            <sz val="9"/>
            <color indexed="81"/>
            <rFont val="Tahoma"/>
            <family val="2"/>
          </rPr>
          <t>Rebecca:</t>
        </r>
        <r>
          <rPr>
            <sz val="9"/>
            <color indexed="81"/>
            <rFont val="Tahoma"/>
            <family val="2"/>
          </rPr>
          <t xml:space="preserve">
UG SA 1971, Tables P.10-12</t>
        </r>
      </text>
    </comment>
    <comment ref="AM70" authorId="1" shapeId="0">
      <text>
        <r>
          <rPr>
            <b/>
            <sz val="9"/>
            <color indexed="81"/>
            <rFont val="Tahoma"/>
            <family val="2"/>
          </rPr>
          <t>Administrator:</t>
        </r>
        <r>
          <rPr>
            <sz val="9"/>
            <color indexed="81"/>
            <rFont val="Tahoma"/>
            <family val="2"/>
          </rPr>
          <t xml:space="preserve">
UG IMF RED 1976, Table 10</t>
        </r>
      </text>
    </comment>
    <comment ref="AP70" authorId="1" shapeId="0">
      <text>
        <r>
          <rPr>
            <b/>
            <sz val="9"/>
            <color indexed="81"/>
            <rFont val="Tahoma"/>
            <family val="2"/>
          </rPr>
          <t>Administrator:</t>
        </r>
        <r>
          <rPr>
            <sz val="9"/>
            <color indexed="81"/>
            <rFont val="Tahoma"/>
            <family val="2"/>
          </rPr>
          <t xml:space="preserve">
UG IMF RED 1977, Table IV</t>
        </r>
      </text>
    </comment>
    <comment ref="Q72" authorId="1" shapeId="0">
      <text>
        <r>
          <rPr>
            <b/>
            <sz val="9"/>
            <color indexed="81"/>
            <rFont val="Tahoma"/>
            <family val="2"/>
          </rPr>
          <t>Administrator:</t>
        </r>
        <r>
          <rPr>
            <sz val="9"/>
            <color indexed="81"/>
            <rFont val="Tahoma"/>
            <family val="2"/>
          </rPr>
          <t xml:space="preserve">
UG EAL 1949</t>
        </r>
      </text>
    </comment>
    <comment ref="Q75" authorId="1" shapeId="0">
      <text>
        <r>
          <rPr>
            <b/>
            <sz val="9"/>
            <color indexed="81"/>
            <rFont val="Tahoma"/>
            <family val="2"/>
          </rPr>
          <t>Administrator:</t>
        </r>
        <r>
          <rPr>
            <sz val="9"/>
            <color indexed="81"/>
            <rFont val="Tahoma"/>
            <family val="2"/>
          </rPr>
          <t xml:space="preserve">
UG EAL 1949</t>
        </r>
      </text>
    </comment>
    <comment ref="AM75" authorId="1" shapeId="0">
      <text>
        <r>
          <rPr>
            <b/>
            <sz val="9"/>
            <color indexed="81"/>
            <rFont val="Tahoma"/>
            <family val="2"/>
          </rPr>
          <t>Administrator:</t>
        </r>
        <r>
          <rPr>
            <sz val="9"/>
            <color indexed="81"/>
            <rFont val="Tahoma"/>
            <family val="2"/>
          </rPr>
          <t xml:space="preserve">
Estimated assuming steady number of non-African employees and steady relative wage level</t>
        </r>
      </text>
    </comment>
    <comment ref="W79" authorId="0" shapeId="0">
      <text>
        <r>
          <rPr>
            <b/>
            <sz val="9"/>
            <color indexed="81"/>
            <rFont val="Tahoma"/>
            <family val="2"/>
          </rPr>
          <t>Rebecca:</t>
        </r>
        <r>
          <rPr>
            <sz val="9"/>
            <color indexed="81"/>
            <rFont val="Tahoma"/>
            <family val="2"/>
          </rPr>
          <t xml:space="preserve">
UG EES 1955, Table 10b</t>
        </r>
      </text>
    </comment>
    <comment ref="X79" authorId="0" shapeId="0">
      <text>
        <r>
          <rPr>
            <b/>
            <sz val="9"/>
            <color indexed="81"/>
            <rFont val="Tahoma"/>
            <family val="2"/>
          </rPr>
          <t>Rebecca:</t>
        </r>
        <r>
          <rPr>
            <sz val="9"/>
            <color indexed="81"/>
            <rFont val="Tahoma"/>
            <family val="2"/>
          </rPr>
          <t xml:space="preserve">
UG EES 1956, Table 12</t>
        </r>
      </text>
    </comment>
    <comment ref="Y79" authorId="0" shapeId="0">
      <text>
        <r>
          <rPr>
            <b/>
            <sz val="9"/>
            <color indexed="81"/>
            <rFont val="Tahoma"/>
            <family val="2"/>
          </rPr>
          <t>Rebecca:</t>
        </r>
        <r>
          <rPr>
            <sz val="9"/>
            <color indexed="81"/>
            <rFont val="Tahoma"/>
            <family val="2"/>
          </rPr>
          <t xml:space="preserve">
UG EES 1957, Table 12</t>
        </r>
      </text>
    </comment>
    <comment ref="Z79" authorId="0" shapeId="0">
      <text>
        <r>
          <rPr>
            <b/>
            <sz val="9"/>
            <color indexed="81"/>
            <rFont val="Tahoma"/>
            <family val="2"/>
          </rPr>
          <t>Rebecca:</t>
        </r>
        <r>
          <rPr>
            <sz val="9"/>
            <color indexed="81"/>
            <rFont val="Tahoma"/>
            <family val="2"/>
          </rPr>
          <t xml:space="preserve">
UG EES 1958, Table 12</t>
        </r>
      </text>
    </comment>
    <comment ref="AA79" authorId="0" shapeId="0">
      <text>
        <r>
          <rPr>
            <b/>
            <sz val="9"/>
            <color indexed="81"/>
            <rFont val="Tahoma"/>
            <family val="2"/>
          </rPr>
          <t>Rebecca:</t>
        </r>
        <r>
          <rPr>
            <sz val="9"/>
            <color indexed="81"/>
            <rFont val="Tahoma"/>
            <family val="2"/>
          </rPr>
          <t xml:space="preserve">
UG EES 1959, Table 12</t>
        </r>
      </text>
    </comment>
    <comment ref="AB79" authorId="0" shapeId="0">
      <text>
        <r>
          <rPr>
            <b/>
            <sz val="9"/>
            <color indexed="81"/>
            <rFont val="Tahoma"/>
            <family val="2"/>
          </rPr>
          <t>Rebecca:</t>
        </r>
        <r>
          <rPr>
            <sz val="9"/>
            <color indexed="81"/>
            <rFont val="Tahoma"/>
            <family val="2"/>
          </rPr>
          <t xml:space="preserve">
UG EES 1960, Table 12</t>
        </r>
      </text>
    </comment>
    <comment ref="AC79" authorId="0" shapeId="0">
      <text>
        <r>
          <rPr>
            <b/>
            <sz val="9"/>
            <color indexed="81"/>
            <rFont val="Tahoma"/>
            <family val="2"/>
          </rPr>
          <t>Rebecca:</t>
        </r>
        <r>
          <rPr>
            <sz val="9"/>
            <color indexed="81"/>
            <rFont val="Tahoma"/>
            <family val="2"/>
          </rPr>
          <t xml:space="preserve">
UG EES 1961, Table 12</t>
        </r>
      </text>
    </comment>
    <comment ref="AD79" authorId="0" shapeId="0">
      <text>
        <r>
          <rPr>
            <b/>
            <sz val="9"/>
            <color indexed="81"/>
            <rFont val="Tahoma"/>
            <family val="2"/>
          </rPr>
          <t>Rebecca:</t>
        </r>
        <r>
          <rPr>
            <sz val="9"/>
            <color indexed="81"/>
            <rFont val="Tahoma"/>
            <family val="2"/>
          </rPr>
          <t xml:space="preserve">
UG EES 1962, Table 12</t>
        </r>
      </text>
    </comment>
    <comment ref="AE79" authorId="0" shapeId="0">
      <text>
        <r>
          <rPr>
            <b/>
            <sz val="9"/>
            <color indexed="81"/>
            <rFont val="Tahoma"/>
            <family val="2"/>
          </rPr>
          <t>Rebecca:</t>
        </r>
        <r>
          <rPr>
            <sz val="9"/>
            <color indexed="81"/>
            <rFont val="Tahoma"/>
            <family val="2"/>
          </rPr>
          <t xml:space="preserve">
UG EES 1963, Table 15</t>
        </r>
      </text>
    </comment>
    <comment ref="AF79" authorId="0" shapeId="0">
      <text>
        <r>
          <rPr>
            <b/>
            <sz val="9"/>
            <color indexed="81"/>
            <rFont val="Tahoma"/>
            <family val="2"/>
          </rPr>
          <t>Rebecca:</t>
        </r>
        <r>
          <rPr>
            <sz val="9"/>
            <color indexed="81"/>
            <rFont val="Tahoma"/>
            <family val="2"/>
          </rPr>
          <t xml:space="preserve">
UG EES 1964, Table 15</t>
        </r>
      </text>
    </comment>
    <comment ref="AG79" authorId="0" shapeId="0">
      <text>
        <r>
          <rPr>
            <b/>
            <sz val="9"/>
            <color indexed="81"/>
            <rFont val="Tahoma"/>
            <family val="2"/>
          </rPr>
          <t>Rebecca:</t>
        </r>
        <r>
          <rPr>
            <sz val="9"/>
            <color indexed="81"/>
            <rFont val="Tahoma"/>
            <family val="2"/>
          </rPr>
          <t xml:space="preserve">
UG EES 1965, Table 16</t>
        </r>
      </text>
    </comment>
    <comment ref="AH79" authorId="0" shapeId="0">
      <text>
        <r>
          <rPr>
            <b/>
            <sz val="9"/>
            <color indexed="81"/>
            <rFont val="Tahoma"/>
            <family val="2"/>
          </rPr>
          <t>Rebecca:</t>
        </r>
        <r>
          <rPr>
            <sz val="9"/>
            <color indexed="81"/>
            <rFont val="Tahoma"/>
            <family val="2"/>
          </rPr>
          <t xml:space="preserve">
UG EES 1966, Appendix XVI</t>
        </r>
      </text>
    </comment>
    <comment ref="AI79" authorId="0" shapeId="0">
      <text>
        <r>
          <rPr>
            <b/>
            <sz val="9"/>
            <color indexed="81"/>
            <rFont val="Tahoma"/>
            <family val="2"/>
          </rPr>
          <t>Rebecca:</t>
        </r>
        <r>
          <rPr>
            <sz val="9"/>
            <color indexed="81"/>
            <rFont val="Tahoma"/>
            <family val="2"/>
          </rPr>
          <t xml:space="preserve">
UG EES 1967, Appendix XVI</t>
        </r>
      </text>
    </comment>
    <comment ref="AJ79" authorId="0" shapeId="0">
      <text>
        <r>
          <rPr>
            <b/>
            <sz val="9"/>
            <color indexed="81"/>
            <rFont val="Tahoma"/>
            <family val="2"/>
          </rPr>
          <t>Rebecca:</t>
        </r>
        <r>
          <rPr>
            <sz val="9"/>
            <color indexed="81"/>
            <rFont val="Tahoma"/>
            <family val="2"/>
          </rPr>
          <t xml:space="preserve">
UG EES 1968, Appendix XVI</t>
        </r>
      </text>
    </comment>
    <comment ref="AK79" authorId="0" shapeId="0">
      <text>
        <r>
          <rPr>
            <b/>
            <sz val="9"/>
            <color indexed="81"/>
            <rFont val="Tahoma"/>
            <family val="2"/>
          </rPr>
          <t>Rebecca:</t>
        </r>
        <r>
          <rPr>
            <sz val="9"/>
            <color indexed="81"/>
            <rFont val="Tahoma"/>
            <family val="2"/>
          </rPr>
          <t xml:space="preserve">
UG EES 1969, Appendix XVI</t>
        </r>
      </text>
    </comment>
    <comment ref="AL79" authorId="0" shapeId="0">
      <text>
        <r>
          <rPr>
            <b/>
            <sz val="9"/>
            <color indexed="81"/>
            <rFont val="Tahoma"/>
            <family val="2"/>
          </rPr>
          <t>Rebecca:</t>
        </r>
        <r>
          <rPr>
            <sz val="9"/>
            <color indexed="81"/>
            <rFont val="Tahoma"/>
            <family val="2"/>
          </rPr>
          <t xml:space="preserve">
UG EES 1970, Appendix XVI</t>
        </r>
      </text>
    </comment>
    <comment ref="W80" authorId="0" shapeId="0">
      <text>
        <r>
          <rPr>
            <b/>
            <sz val="9"/>
            <color indexed="81"/>
            <rFont val="Tahoma"/>
            <family val="2"/>
          </rPr>
          <t>Rebecca:</t>
        </r>
        <r>
          <rPr>
            <sz val="9"/>
            <color indexed="81"/>
            <rFont val="Tahoma"/>
            <family val="2"/>
          </rPr>
          <t xml:space="preserve">
UG EES 1955, Table 10b</t>
        </r>
      </text>
    </comment>
    <comment ref="X80" authorId="0" shapeId="0">
      <text>
        <r>
          <rPr>
            <b/>
            <sz val="9"/>
            <color indexed="81"/>
            <rFont val="Tahoma"/>
            <family val="2"/>
          </rPr>
          <t>Rebecca:</t>
        </r>
        <r>
          <rPr>
            <sz val="9"/>
            <color indexed="81"/>
            <rFont val="Tahoma"/>
            <family val="2"/>
          </rPr>
          <t xml:space="preserve">
UG EES 1956, Table 15</t>
        </r>
      </text>
    </comment>
    <comment ref="Y80" authorId="0" shapeId="0">
      <text>
        <r>
          <rPr>
            <b/>
            <sz val="9"/>
            <color indexed="81"/>
            <rFont val="Tahoma"/>
            <family val="2"/>
          </rPr>
          <t>Rebecca:</t>
        </r>
        <r>
          <rPr>
            <sz val="9"/>
            <color indexed="81"/>
            <rFont val="Tahoma"/>
            <family val="2"/>
          </rPr>
          <t xml:space="preserve">
UG EES 1957, Table 15</t>
        </r>
      </text>
    </comment>
    <comment ref="Z80" authorId="0" shapeId="0">
      <text>
        <r>
          <rPr>
            <b/>
            <sz val="9"/>
            <color indexed="81"/>
            <rFont val="Tahoma"/>
            <family val="2"/>
          </rPr>
          <t>Rebecca:</t>
        </r>
        <r>
          <rPr>
            <sz val="9"/>
            <color indexed="81"/>
            <rFont val="Tahoma"/>
            <family val="2"/>
          </rPr>
          <t xml:space="preserve">
UG EES 1958, Table 15</t>
        </r>
      </text>
    </comment>
    <comment ref="AA80" authorId="0" shapeId="0">
      <text>
        <r>
          <rPr>
            <b/>
            <sz val="9"/>
            <color indexed="81"/>
            <rFont val="Tahoma"/>
            <family val="2"/>
          </rPr>
          <t>Rebecca:</t>
        </r>
        <r>
          <rPr>
            <sz val="9"/>
            <color indexed="81"/>
            <rFont val="Tahoma"/>
            <family val="2"/>
          </rPr>
          <t xml:space="preserve">
UG EES 1959, Table 15</t>
        </r>
      </text>
    </comment>
    <comment ref="AB80" authorId="0" shapeId="0">
      <text>
        <r>
          <rPr>
            <b/>
            <sz val="9"/>
            <color indexed="81"/>
            <rFont val="Tahoma"/>
            <family val="2"/>
          </rPr>
          <t>Rebecca:</t>
        </r>
        <r>
          <rPr>
            <sz val="9"/>
            <color indexed="81"/>
            <rFont val="Tahoma"/>
            <family val="2"/>
          </rPr>
          <t xml:space="preserve">
UG EES 1960, Table 15</t>
        </r>
      </text>
    </comment>
    <comment ref="AC80" authorId="0" shapeId="0">
      <text>
        <r>
          <rPr>
            <b/>
            <sz val="9"/>
            <color indexed="81"/>
            <rFont val="Tahoma"/>
            <family val="2"/>
          </rPr>
          <t>Rebecca:</t>
        </r>
        <r>
          <rPr>
            <sz val="9"/>
            <color indexed="81"/>
            <rFont val="Tahoma"/>
            <family val="2"/>
          </rPr>
          <t xml:space="preserve">
UG EES 1961, Table 15</t>
        </r>
      </text>
    </comment>
    <comment ref="AD80" authorId="0" shapeId="0">
      <text>
        <r>
          <rPr>
            <b/>
            <sz val="9"/>
            <color indexed="81"/>
            <rFont val="Tahoma"/>
            <family val="2"/>
          </rPr>
          <t>Rebecca:</t>
        </r>
        <r>
          <rPr>
            <sz val="9"/>
            <color indexed="81"/>
            <rFont val="Tahoma"/>
            <family val="2"/>
          </rPr>
          <t xml:space="preserve">
UG EES 1962, Table 15</t>
        </r>
      </text>
    </comment>
    <comment ref="AE80" authorId="0" shapeId="0">
      <text>
        <r>
          <rPr>
            <b/>
            <sz val="9"/>
            <color indexed="81"/>
            <rFont val="Tahoma"/>
            <family val="2"/>
          </rPr>
          <t>Rebecca:</t>
        </r>
        <r>
          <rPr>
            <sz val="9"/>
            <color indexed="81"/>
            <rFont val="Tahoma"/>
            <family val="2"/>
          </rPr>
          <t xml:space="preserve">
UG EES 1963, Table 17</t>
        </r>
      </text>
    </comment>
    <comment ref="AF80" authorId="0" shapeId="0">
      <text>
        <r>
          <rPr>
            <b/>
            <sz val="9"/>
            <color indexed="81"/>
            <rFont val="Tahoma"/>
            <family val="2"/>
          </rPr>
          <t>Rebecca:</t>
        </r>
        <r>
          <rPr>
            <sz val="9"/>
            <color indexed="81"/>
            <rFont val="Tahoma"/>
            <family val="2"/>
          </rPr>
          <t xml:space="preserve">
UG EES 1964, Table 17</t>
        </r>
      </text>
    </comment>
    <comment ref="AG80" authorId="0" shapeId="0">
      <text>
        <r>
          <rPr>
            <b/>
            <sz val="9"/>
            <color indexed="81"/>
            <rFont val="Tahoma"/>
            <family val="2"/>
          </rPr>
          <t>Rebecca:</t>
        </r>
        <r>
          <rPr>
            <sz val="9"/>
            <color indexed="81"/>
            <rFont val="Tahoma"/>
            <family val="2"/>
          </rPr>
          <t xml:space="preserve">
UG EES 1965, Table 18</t>
        </r>
      </text>
    </comment>
    <comment ref="AH80" authorId="0" shapeId="0">
      <text>
        <r>
          <rPr>
            <b/>
            <sz val="9"/>
            <color indexed="81"/>
            <rFont val="Tahoma"/>
            <family val="2"/>
          </rPr>
          <t>Rebecca:</t>
        </r>
        <r>
          <rPr>
            <sz val="9"/>
            <color indexed="81"/>
            <rFont val="Tahoma"/>
            <family val="2"/>
          </rPr>
          <t xml:space="preserve">
UG EES 1966, Appendix XVIII</t>
        </r>
      </text>
    </comment>
    <comment ref="AI80" authorId="0" shapeId="0">
      <text>
        <r>
          <rPr>
            <b/>
            <sz val="9"/>
            <color indexed="81"/>
            <rFont val="Tahoma"/>
            <family val="2"/>
          </rPr>
          <t>Rebecca:</t>
        </r>
        <r>
          <rPr>
            <sz val="9"/>
            <color indexed="81"/>
            <rFont val="Tahoma"/>
            <family val="2"/>
          </rPr>
          <t xml:space="preserve">
UG EES 1967, Appendix XVIII</t>
        </r>
      </text>
    </comment>
    <comment ref="AJ80" authorId="0" shapeId="0">
      <text>
        <r>
          <rPr>
            <b/>
            <sz val="9"/>
            <color indexed="81"/>
            <rFont val="Tahoma"/>
            <family val="2"/>
          </rPr>
          <t>Rebecca:</t>
        </r>
        <r>
          <rPr>
            <sz val="9"/>
            <color indexed="81"/>
            <rFont val="Tahoma"/>
            <family val="2"/>
          </rPr>
          <t xml:space="preserve">
UG EES 1968, Appendix XVIII</t>
        </r>
      </text>
    </comment>
    <comment ref="AK80" authorId="0" shapeId="0">
      <text>
        <r>
          <rPr>
            <b/>
            <sz val="9"/>
            <color indexed="81"/>
            <rFont val="Tahoma"/>
            <family val="2"/>
          </rPr>
          <t>Rebecca:</t>
        </r>
        <r>
          <rPr>
            <sz val="9"/>
            <color indexed="81"/>
            <rFont val="Tahoma"/>
            <family val="2"/>
          </rPr>
          <t xml:space="preserve">
UG EES 1969, Appendix XVIII</t>
        </r>
      </text>
    </comment>
    <comment ref="AL80" authorId="0" shapeId="0">
      <text>
        <r>
          <rPr>
            <b/>
            <sz val="9"/>
            <color indexed="81"/>
            <rFont val="Tahoma"/>
            <family val="2"/>
          </rPr>
          <t>Rebecca:</t>
        </r>
        <r>
          <rPr>
            <sz val="9"/>
            <color indexed="81"/>
            <rFont val="Tahoma"/>
            <family val="2"/>
          </rPr>
          <t xml:space="preserve">
UG EES 1970, Appendix XVIII</t>
        </r>
      </text>
    </comment>
    <comment ref="AM82" authorId="0" shapeId="0">
      <text>
        <r>
          <rPr>
            <b/>
            <sz val="9"/>
            <color indexed="81"/>
            <rFont val="Tahoma"/>
            <family val="2"/>
          </rPr>
          <t>Rebecca:</t>
        </r>
        <r>
          <rPr>
            <sz val="9"/>
            <color indexed="81"/>
            <rFont val="Tahoma"/>
            <family val="2"/>
          </rPr>
          <t xml:space="preserve">
UG IMF RED 1976 Table 11
African and non-African
</t>
        </r>
      </text>
    </comment>
    <comment ref="AO82" authorId="1" shapeId="0">
      <text>
        <r>
          <rPr>
            <b/>
            <sz val="9"/>
            <color indexed="81"/>
            <rFont val="Tahoma"/>
            <family val="2"/>
          </rPr>
          <t>Administrator:</t>
        </r>
        <r>
          <rPr>
            <sz val="9"/>
            <color indexed="81"/>
            <rFont val="Tahoma"/>
            <family val="2"/>
          </rPr>
          <t xml:space="preserve">
UG IMF RED 1977, Table III</t>
        </r>
      </text>
    </comment>
    <comment ref="O106" authorId="0" shapeId="0">
      <text>
        <r>
          <rPr>
            <b/>
            <sz val="9"/>
            <color indexed="81"/>
            <rFont val="Tahoma"/>
            <family val="2"/>
          </rPr>
          <t>Rebecca:</t>
        </r>
        <r>
          <rPr>
            <sz val="9"/>
            <color indexed="81"/>
            <rFont val="Tahoma"/>
            <family val="2"/>
          </rPr>
          <t xml:space="preserve">
UG SA 1957, Table UN.1</t>
        </r>
      </text>
    </comment>
    <comment ref="X106" authorId="0" shapeId="0">
      <text>
        <r>
          <rPr>
            <b/>
            <sz val="9"/>
            <color indexed="81"/>
            <rFont val="Tahoma"/>
            <family val="2"/>
          </rPr>
          <t>Rebecca:</t>
        </r>
        <r>
          <rPr>
            <sz val="9"/>
            <color indexed="81"/>
            <rFont val="Tahoma"/>
            <family val="2"/>
          </rPr>
          <t xml:space="preserve">
UG SA 1966, Table UO.1</t>
        </r>
      </text>
    </comment>
    <comment ref="AC107" authorId="0" shapeId="0">
      <text>
        <r>
          <rPr>
            <b/>
            <sz val="9"/>
            <color indexed="81"/>
            <rFont val="Tahoma"/>
            <family val="2"/>
          </rPr>
          <t>Rebecca:</t>
        </r>
        <r>
          <rPr>
            <sz val="9"/>
            <color indexed="81"/>
            <rFont val="Tahoma"/>
            <family val="2"/>
          </rPr>
          <t xml:space="preserve">
UG SA 1970, Table UO.1</t>
        </r>
      </text>
    </comment>
    <comment ref="AN107" authorId="1" shapeId="0">
      <text>
        <r>
          <rPr>
            <b/>
            <sz val="9"/>
            <color indexed="81"/>
            <rFont val="Tahoma"/>
            <family val="2"/>
          </rPr>
          <t>Administrator:</t>
        </r>
        <r>
          <rPr>
            <sz val="9"/>
            <color indexed="81"/>
            <rFont val="Tahoma"/>
            <family val="2"/>
          </rPr>
          <t xml:space="preserve">
UG IMF RED 1976, Table 9.</t>
        </r>
      </text>
    </comment>
    <comment ref="AP107" authorId="1" shapeId="0">
      <text>
        <r>
          <rPr>
            <b/>
            <sz val="9"/>
            <color indexed="81"/>
            <rFont val="Tahoma"/>
            <family val="2"/>
          </rPr>
          <t>Administrator:</t>
        </r>
        <r>
          <rPr>
            <sz val="9"/>
            <color indexed="81"/>
            <rFont val="Tahoma"/>
            <family val="2"/>
          </rPr>
          <t xml:space="preserve">
UG IMF RED 1979, Table IX.</t>
        </r>
      </text>
    </comment>
    <comment ref="AT108" authorId="1" shapeId="0">
      <text>
        <r>
          <rPr>
            <b/>
            <sz val="9"/>
            <color indexed="81"/>
            <rFont val="Tahoma"/>
            <family val="2"/>
          </rPr>
          <t>Administrator:</t>
        </r>
        <r>
          <rPr>
            <sz val="9"/>
            <color indexed="81"/>
            <rFont val="Tahoma"/>
            <family val="2"/>
          </rPr>
          <t xml:space="preserve">
UG IMF RED 1983, Table 11. (June measure)</t>
        </r>
      </text>
    </comment>
    <comment ref="AY108" authorId="1" shapeId="0">
      <text>
        <r>
          <rPr>
            <b/>
            <sz val="9"/>
            <color indexed="81"/>
            <rFont val="Tahoma"/>
            <family val="2"/>
          </rPr>
          <t>Administrator:</t>
        </r>
        <r>
          <rPr>
            <sz val="9"/>
            <color indexed="81"/>
            <rFont val="Tahoma"/>
            <family val="2"/>
          </rPr>
          <t xml:space="preserve">
UG IMF RED 1987, Table 8.</t>
        </r>
      </text>
    </comment>
    <comment ref="O117" authorId="1" shapeId="0">
      <text>
        <r>
          <rPr>
            <b/>
            <sz val="9"/>
            <color indexed="81"/>
            <rFont val="Tahoma"/>
            <family val="2"/>
          </rPr>
          <t>Administrator:</t>
        </r>
        <r>
          <rPr>
            <sz val="9"/>
            <color indexed="81"/>
            <rFont val="Tahoma"/>
            <family val="2"/>
          </rPr>
          <t xml:space="preserve">
UG SA 1957, Table UL.3
(Includes constributions from local funds and reimbursements of loans)</t>
        </r>
      </text>
    </comment>
    <comment ref="Y117" authorId="1" shapeId="0">
      <text>
        <r>
          <rPr>
            <b/>
            <sz val="9"/>
            <color indexed="81"/>
            <rFont val="Tahoma"/>
            <family val="2"/>
          </rPr>
          <t>Administrator:</t>
        </r>
        <r>
          <rPr>
            <sz val="9"/>
            <color indexed="81"/>
            <rFont val="Tahoma"/>
            <family val="2"/>
          </rPr>
          <t xml:space="preserve">
UG WB EM 1961, Table 25.</t>
        </r>
      </text>
    </comment>
    <comment ref="AC117" authorId="1" shapeId="0">
      <text>
        <r>
          <rPr>
            <b/>
            <sz val="9"/>
            <color indexed="81"/>
            <rFont val="Tahoma"/>
            <family val="2"/>
          </rPr>
          <t>Administrator:</t>
        </r>
        <r>
          <rPr>
            <sz val="9"/>
            <color indexed="81"/>
            <rFont val="Tahoma"/>
            <family val="2"/>
          </rPr>
          <t xml:space="preserve">
UG SA 162, Table UM.3
(Includes constributions from local funds and reimbursements of loans)</t>
        </r>
      </text>
    </comment>
    <comment ref="AD117" authorId="1" shapeId="0">
      <text>
        <r>
          <rPr>
            <b/>
            <sz val="9"/>
            <color indexed="81"/>
            <rFont val="Tahoma"/>
            <family val="2"/>
          </rPr>
          <t>Administrator:</t>
        </r>
        <r>
          <rPr>
            <sz val="9"/>
            <color indexed="81"/>
            <rFont val="Tahoma"/>
            <family val="2"/>
          </rPr>
          <t xml:space="preserve">
UG IMF ARTICLE IV 1965, Table 13.</t>
        </r>
      </text>
    </comment>
    <comment ref="AF117" authorId="1" shapeId="0">
      <text>
        <r>
          <rPr>
            <b/>
            <sz val="9"/>
            <color indexed="81"/>
            <rFont val="Tahoma"/>
            <family val="2"/>
          </rPr>
          <t>Administrator:</t>
        </r>
        <r>
          <rPr>
            <sz val="9"/>
            <color indexed="81"/>
            <rFont val="Tahoma"/>
            <family val="2"/>
          </rPr>
          <t xml:space="preserve">
IMF ARTICLE IV 1969, Table VII 
(incl. current revenues and capital revenues other than grants.)</t>
        </r>
      </text>
    </comment>
    <comment ref="AK117" authorId="1" shapeId="0">
      <text>
        <r>
          <rPr>
            <b/>
            <sz val="9"/>
            <color indexed="81"/>
            <rFont val="Tahoma"/>
            <family val="2"/>
          </rPr>
          <t>Administrator:</t>
        </r>
        <r>
          <rPr>
            <sz val="9"/>
            <color indexed="81"/>
            <rFont val="Tahoma"/>
            <family val="2"/>
          </rPr>
          <t xml:space="preserve">
UG IMF RED 1972, Table XV</t>
        </r>
      </text>
    </comment>
    <comment ref="AN117" authorId="1" shapeId="0">
      <text>
        <r>
          <rPr>
            <b/>
            <sz val="9"/>
            <color indexed="81"/>
            <rFont val="Tahoma"/>
            <family val="2"/>
          </rPr>
          <t>Administrator:</t>
        </r>
        <r>
          <rPr>
            <sz val="9"/>
            <color indexed="81"/>
            <rFont val="Tahoma"/>
            <family val="2"/>
          </rPr>
          <t xml:space="preserve">
UG IMF RED 1976, Table 12.</t>
        </r>
      </text>
    </comment>
    <comment ref="AQ117" authorId="1" shapeId="0">
      <text>
        <r>
          <rPr>
            <b/>
            <sz val="9"/>
            <color indexed="81"/>
            <rFont val="Tahoma"/>
            <family val="2"/>
          </rPr>
          <t>Administrator:</t>
        </r>
        <r>
          <rPr>
            <sz val="9"/>
            <color indexed="81"/>
            <rFont val="Tahoma"/>
            <family val="2"/>
          </rPr>
          <t xml:space="preserve">
UG IMF RED 1979, Table 14.</t>
        </r>
      </text>
    </comment>
    <comment ref="AU117" authorId="1" shapeId="0">
      <text>
        <r>
          <rPr>
            <b/>
            <sz val="9"/>
            <color indexed="81"/>
            <rFont val="Tahoma"/>
            <family val="2"/>
          </rPr>
          <t>Administrator:</t>
        </r>
        <r>
          <rPr>
            <sz val="9"/>
            <color indexed="81"/>
            <rFont val="Tahoma"/>
            <family val="2"/>
          </rPr>
          <t xml:space="preserve">
UG IMF RED 1983, Table 15.</t>
        </r>
      </text>
    </comment>
    <comment ref="AY117" authorId="1" shapeId="0">
      <text>
        <r>
          <rPr>
            <b/>
            <sz val="9"/>
            <color indexed="81"/>
            <rFont val="Tahoma"/>
            <family val="2"/>
          </rPr>
          <t>Administrator:</t>
        </r>
        <r>
          <rPr>
            <sz val="9"/>
            <color indexed="81"/>
            <rFont val="Tahoma"/>
            <family val="2"/>
          </rPr>
          <t xml:space="preserve">
UG IMF RED 1987, Table 12.</t>
        </r>
      </text>
    </comment>
    <comment ref="BC117" authorId="1" shapeId="0">
      <text>
        <r>
          <rPr>
            <b/>
            <sz val="9"/>
            <color indexed="81"/>
            <rFont val="Tahoma"/>
            <family val="2"/>
          </rPr>
          <t>Administrator:</t>
        </r>
        <r>
          <rPr>
            <sz val="9"/>
            <color indexed="81"/>
            <rFont val="Tahoma"/>
            <family val="2"/>
          </rPr>
          <t xml:space="preserve">
UG IMF RED 1988, Table 12.</t>
        </r>
      </text>
    </comment>
    <comment ref="BE117" authorId="1" shapeId="0">
      <text>
        <r>
          <rPr>
            <b/>
            <sz val="9"/>
            <color indexed="81"/>
            <rFont val="Tahoma"/>
            <family val="2"/>
          </rPr>
          <t>Administrator:</t>
        </r>
        <r>
          <rPr>
            <sz val="9"/>
            <color indexed="81"/>
            <rFont val="Tahoma"/>
            <family val="2"/>
          </rPr>
          <t xml:space="preserve">
UG IMF SA 1993, Table 21.</t>
        </r>
      </text>
    </comment>
    <comment ref="BI117" authorId="1" shapeId="0">
      <text>
        <r>
          <rPr>
            <b/>
            <sz val="9"/>
            <color indexed="81"/>
            <rFont val="Tahoma"/>
            <family val="2"/>
          </rPr>
          <t>Administrator:</t>
        </r>
        <r>
          <rPr>
            <sz val="9"/>
            <color indexed="81"/>
            <rFont val="Tahoma"/>
            <family val="2"/>
          </rPr>
          <t xml:space="preserve">
UG IMF SA 1998, Table 21.</t>
        </r>
      </text>
    </comment>
    <comment ref="BM117" authorId="1" shapeId="0">
      <text>
        <r>
          <rPr>
            <b/>
            <sz val="9"/>
            <color indexed="81"/>
            <rFont val="Tahoma"/>
            <family val="2"/>
          </rPr>
          <t>Administrator:</t>
        </r>
        <r>
          <rPr>
            <sz val="9"/>
            <color indexed="81"/>
            <rFont val="Tahoma"/>
            <family val="2"/>
          </rPr>
          <t xml:space="preserve">
UG IMF SA 2001, Table 20.</t>
        </r>
      </text>
    </comment>
    <comment ref="BP117" authorId="1" shapeId="0">
      <text>
        <r>
          <rPr>
            <b/>
            <sz val="9"/>
            <color indexed="81"/>
            <rFont val="Tahoma"/>
            <family val="2"/>
          </rPr>
          <t>Administrator:</t>
        </r>
        <r>
          <rPr>
            <sz val="9"/>
            <color indexed="81"/>
            <rFont val="Tahoma"/>
            <family val="2"/>
          </rPr>
          <t xml:space="preserve">
UG IMF SA 2005, Table 16.</t>
        </r>
      </text>
    </comment>
    <comment ref="BU117" authorId="1" shapeId="0">
      <text>
        <r>
          <rPr>
            <b/>
            <sz val="9"/>
            <color indexed="81"/>
            <rFont val="Tahoma"/>
            <family val="2"/>
          </rPr>
          <t>Administrator:</t>
        </r>
        <r>
          <rPr>
            <sz val="9"/>
            <color indexed="81"/>
            <rFont val="Tahoma"/>
            <family val="2"/>
          </rPr>
          <t xml:space="preserve">
UG IMF ARTICLE IV 2007, Table 2.</t>
        </r>
      </text>
    </comment>
    <comment ref="BW117" authorId="1" shapeId="0">
      <text>
        <r>
          <rPr>
            <b/>
            <sz val="9"/>
            <color indexed="81"/>
            <rFont val="Tahoma"/>
            <family val="2"/>
          </rPr>
          <t>Administrator:</t>
        </r>
        <r>
          <rPr>
            <sz val="9"/>
            <color indexed="81"/>
            <rFont val="Tahoma"/>
            <family val="2"/>
          </rPr>
          <t xml:space="preserve">
UG IMF ARTICLE IV 2009, Table 2.</t>
        </r>
      </text>
    </comment>
    <comment ref="CA117" authorId="1" shapeId="0">
      <text>
        <r>
          <rPr>
            <b/>
            <sz val="9"/>
            <color indexed="81"/>
            <rFont val="Tahoma"/>
            <family val="2"/>
          </rPr>
          <t>Administrator:</t>
        </r>
        <r>
          <rPr>
            <sz val="9"/>
            <color indexed="81"/>
            <rFont val="Tahoma"/>
            <family val="2"/>
          </rPr>
          <t xml:space="preserve">
</t>
        </r>
      </text>
    </comment>
    <comment ref="BD118" authorId="1" shapeId="0">
      <text>
        <r>
          <rPr>
            <b/>
            <sz val="9"/>
            <color indexed="81"/>
            <rFont val="Tahoma"/>
            <family val="2"/>
          </rPr>
          <t>Administrator:</t>
        </r>
        <r>
          <rPr>
            <sz val="9"/>
            <color indexed="81"/>
            <rFont val="Tahoma"/>
            <family val="2"/>
          </rPr>
          <t xml:space="preserve">
New currency - remove two zeros from currency.</t>
        </r>
      </text>
    </comment>
    <comment ref="W122" authorId="1" shapeId="0">
      <text>
        <r>
          <rPr>
            <b/>
            <sz val="9"/>
            <color indexed="81"/>
            <rFont val="Tahoma"/>
            <family val="2"/>
          </rPr>
          <t>Administrator:</t>
        </r>
        <r>
          <rPr>
            <sz val="9"/>
            <color indexed="81"/>
            <rFont val="Tahoma"/>
            <family val="2"/>
          </rPr>
          <t xml:space="preserve">
Assumed at 19% of CG revenue (based on 1958 ratio)</t>
        </r>
      </text>
    </comment>
    <comment ref="Z122" authorId="1" shapeId="0">
      <text>
        <r>
          <rPr>
            <b/>
            <sz val="9"/>
            <color indexed="81"/>
            <rFont val="Tahoma"/>
            <family val="2"/>
          </rPr>
          <t>Administrator:</t>
        </r>
        <r>
          <rPr>
            <sz val="9"/>
            <color indexed="81"/>
            <rFont val="Tahoma"/>
            <family val="2"/>
          </rPr>
          <t xml:space="preserve">
UG WB EM 1961, Table 27. (transfers subtracted)</t>
        </r>
      </text>
    </comment>
    <comment ref="AB122" authorId="1" shapeId="0">
      <text>
        <r>
          <rPr>
            <b/>
            <sz val="9"/>
            <color indexed="81"/>
            <rFont val="Tahoma"/>
            <family val="2"/>
          </rPr>
          <t>Administrator:</t>
        </r>
        <r>
          <rPr>
            <sz val="9"/>
            <color indexed="81"/>
            <rFont val="Tahoma"/>
            <family val="2"/>
          </rPr>
          <t xml:space="preserve">
UG SA 1962, Table UM.5</t>
        </r>
      </text>
    </comment>
    <comment ref="AD122" authorId="1" shapeId="0">
      <text>
        <r>
          <rPr>
            <b/>
            <sz val="9"/>
            <color indexed="81"/>
            <rFont val="Tahoma"/>
            <family val="2"/>
          </rPr>
          <t>Administrator:</t>
        </r>
        <r>
          <rPr>
            <sz val="9"/>
            <color indexed="81"/>
            <rFont val="Tahoma"/>
            <family val="2"/>
          </rPr>
          <t xml:space="preserve">
Imputed.</t>
        </r>
      </text>
    </comment>
    <comment ref="AE122" authorId="1" shapeId="0">
      <text>
        <r>
          <rPr>
            <b/>
            <sz val="9"/>
            <color indexed="81"/>
            <rFont val="Tahoma"/>
            <family val="2"/>
          </rPr>
          <t>Administrator:</t>
        </r>
        <r>
          <rPr>
            <sz val="9"/>
            <color indexed="81"/>
            <rFont val="Tahoma"/>
            <family val="2"/>
          </rPr>
          <t xml:space="preserve">
UG SA 1970, Table UM.6
Total 'amalgamated revenue' from CG and LG accounts, subtracting loan receipts and all CG revenue (above)</t>
        </r>
      </text>
    </comment>
    <comment ref="AI122" authorId="1" shapeId="0">
      <text>
        <r>
          <rPr>
            <b/>
            <sz val="9"/>
            <color indexed="81"/>
            <rFont val="Tahoma"/>
            <family val="2"/>
          </rPr>
          <t>Administrator:</t>
        </r>
        <r>
          <rPr>
            <sz val="9"/>
            <color indexed="81"/>
            <rFont val="Tahoma"/>
            <family val="2"/>
          </rPr>
          <t xml:space="preserve">
Imputed</t>
        </r>
      </text>
    </comment>
    <comment ref="AO122" authorId="1" shapeId="0">
      <text>
        <r>
          <rPr>
            <b/>
            <sz val="9"/>
            <color indexed="81"/>
            <rFont val="Tahoma"/>
            <family val="2"/>
          </rPr>
          <t>Administrator:</t>
        </r>
        <r>
          <rPr>
            <sz val="9"/>
            <color indexed="81"/>
            <rFont val="Tahoma"/>
            <family val="2"/>
          </rPr>
          <t xml:space="preserve">
UG SA 1974
Urban and district graduated tax receipts.</t>
        </r>
      </text>
    </comment>
    <comment ref="AT122" authorId="1" shapeId="0">
      <text>
        <r>
          <rPr>
            <b/>
            <sz val="9"/>
            <color indexed="81"/>
            <rFont val="Tahoma"/>
            <family val="2"/>
          </rPr>
          <t>Administrator:</t>
        </r>
        <r>
          <rPr>
            <sz val="9"/>
            <color indexed="81"/>
            <rFont val="Tahoma"/>
            <family val="2"/>
          </rPr>
          <t xml:space="preserve">
Rough estimate based on suggestion by the IMF (IMF RED 1983) that LG own revenue was roughly the same as transfers from the central govt.</t>
        </r>
      </text>
    </comment>
    <comment ref="BY122" authorId="1" shapeId="0">
      <text>
        <r>
          <rPr>
            <b/>
            <sz val="9"/>
            <color indexed="81"/>
            <rFont val="Tahoma"/>
            <family val="2"/>
          </rPr>
          <t>Administrator:</t>
        </r>
        <r>
          <rPr>
            <sz val="9"/>
            <color indexed="81"/>
            <rFont val="Tahoma"/>
            <family val="2"/>
          </rPr>
          <t xml:space="preserve">
UG SA 2014, Tables 4.4H - J.
Sum of urban, district and local government revenue, subtracting all grants from CG and donors.</t>
        </r>
      </text>
    </comment>
    <comment ref="O125" authorId="1" shapeId="0">
      <text>
        <r>
          <rPr>
            <b/>
            <sz val="9"/>
            <color indexed="81"/>
            <rFont val="Tahoma"/>
            <family val="2"/>
          </rPr>
          <t>Administrator:</t>
        </r>
        <r>
          <rPr>
            <sz val="9"/>
            <color indexed="81"/>
            <rFont val="Tahoma"/>
            <family val="2"/>
          </rPr>
          <t xml:space="preserve">
UG SA 1957, Table UL.2</t>
        </r>
      </text>
    </comment>
    <comment ref="W125" authorId="1" shapeId="0">
      <text>
        <r>
          <rPr>
            <b/>
            <sz val="9"/>
            <color indexed="81"/>
            <rFont val="Tahoma"/>
            <family val="2"/>
          </rPr>
          <t>Administrator:</t>
        </r>
        <r>
          <rPr>
            <sz val="9"/>
            <color indexed="81"/>
            <rFont val="Tahoma"/>
            <family val="2"/>
          </rPr>
          <t xml:space="preserve">
</t>
        </r>
      </text>
    </comment>
    <comment ref="Y125" authorId="1" shapeId="0">
      <text>
        <r>
          <rPr>
            <b/>
            <sz val="9"/>
            <color indexed="81"/>
            <rFont val="Tahoma"/>
            <family val="2"/>
          </rPr>
          <t>Administrator:</t>
        </r>
        <r>
          <rPr>
            <sz val="9"/>
            <color indexed="81"/>
            <rFont val="Tahoma"/>
            <family val="2"/>
          </rPr>
          <t xml:space="preserve">
UG WB EM 1961, Table 26</t>
        </r>
      </text>
    </comment>
    <comment ref="AB125" authorId="1" shapeId="0">
      <text>
        <r>
          <rPr>
            <b/>
            <sz val="9"/>
            <color indexed="81"/>
            <rFont val="Tahoma"/>
            <family val="2"/>
          </rPr>
          <t>Administrator:</t>
        </r>
        <r>
          <rPr>
            <sz val="9"/>
            <color indexed="81"/>
            <rFont val="Tahoma"/>
            <family val="2"/>
          </rPr>
          <t xml:space="preserve">
</t>
        </r>
      </text>
    </comment>
    <comment ref="AD125" authorId="1" shapeId="0">
      <text>
        <r>
          <rPr>
            <b/>
            <sz val="9"/>
            <color indexed="81"/>
            <rFont val="Tahoma"/>
            <family val="2"/>
          </rPr>
          <t>Administrator:</t>
        </r>
        <r>
          <rPr>
            <sz val="9"/>
            <color indexed="81"/>
            <rFont val="Tahoma"/>
            <family val="2"/>
          </rPr>
          <t xml:space="preserve">
UG IMF ARTICLE IV 1967, Table 9 &amp; 10.
</t>
        </r>
      </text>
    </comment>
    <comment ref="AF125" authorId="1" shapeId="0">
      <text>
        <r>
          <rPr>
            <b/>
            <sz val="9"/>
            <color indexed="81"/>
            <rFont val="Tahoma"/>
            <family val="2"/>
          </rPr>
          <t>Administrator:</t>
        </r>
        <r>
          <rPr>
            <sz val="9"/>
            <color indexed="81"/>
            <rFont val="Tahoma"/>
            <family val="2"/>
          </rPr>
          <t xml:space="preserve">
UG IMF ARTICLE IV 1969, Table 16 &amp; 17.</t>
        </r>
      </text>
    </comment>
    <comment ref="AI125" authorId="1" shapeId="0">
      <text>
        <r>
          <rPr>
            <b/>
            <sz val="9"/>
            <color indexed="81"/>
            <rFont val="Tahoma"/>
            <family val="2"/>
          </rPr>
          <t>Administrator:</t>
        </r>
        <r>
          <rPr>
            <sz val="9"/>
            <color indexed="81"/>
            <rFont val="Tahoma"/>
            <family val="2"/>
          </rPr>
          <t xml:space="preserve">
UG IMF RED 1970, Table XV &amp; XVI</t>
        </r>
      </text>
    </comment>
    <comment ref="AJ125" authorId="1" shapeId="0">
      <text>
        <r>
          <rPr>
            <b/>
            <sz val="9"/>
            <color indexed="81"/>
            <rFont val="Tahoma"/>
            <family val="2"/>
          </rPr>
          <t xml:space="preserve">Administrator:
</t>
        </r>
        <r>
          <rPr>
            <sz val="9"/>
            <color indexed="81"/>
            <rFont val="Tahoma"/>
            <family val="2"/>
          </rPr>
          <t>UG IMF RED 1972, Table XIX.</t>
        </r>
      </text>
    </comment>
    <comment ref="AN125" authorId="1" shapeId="0">
      <text>
        <r>
          <rPr>
            <b/>
            <sz val="9"/>
            <color indexed="81"/>
            <rFont val="Tahoma"/>
            <family val="2"/>
          </rPr>
          <t>Administrator:</t>
        </r>
        <r>
          <rPr>
            <sz val="9"/>
            <color indexed="81"/>
            <rFont val="Tahoma"/>
            <family val="2"/>
          </rPr>
          <t xml:space="preserve">
UG IMF RED 1976, Table 12.</t>
        </r>
      </text>
    </comment>
    <comment ref="AP125" authorId="1" shapeId="0">
      <text>
        <r>
          <rPr>
            <b/>
            <sz val="9"/>
            <color indexed="81"/>
            <rFont val="Tahoma"/>
            <family val="2"/>
          </rPr>
          <t>Administrator:</t>
        </r>
        <r>
          <rPr>
            <sz val="9"/>
            <color indexed="81"/>
            <rFont val="Tahoma"/>
            <family val="2"/>
          </rPr>
          <t xml:space="preserve">
UG IMF RED 1977, Table 7 &amp; 9 (interest)</t>
        </r>
      </text>
    </comment>
    <comment ref="AS125" authorId="1" shapeId="0">
      <text>
        <r>
          <rPr>
            <b/>
            <sz val="9"/>
            <color indexed="81"/>
            <rFont val="Tahoma"/>
            <family val="2"/>
          </rPr>
          <t>Administrator:</t>
        </r>
        <r>
          <rPr>
            <sz val="9"/>
            <color indexed="81"/>
            <rFont val="Tahoma"/>
            <family val="2"/>
          </rPr>
          <t xml:space="preserve">
UG IMF RED 1979, Table 15 &amp; 16.</t>
        </r>
      </text>
    </comment>
    <comment ref="AU125" authorId="1" shapeId="0">
      <text>
        <r>
          <rPr>
            <b/>
            <sz val="9"/>
            <color indexed="81"/>
            <rFont val="Tahoma"/>
            <family val="2"/>
          </rPr>
          <t>Administrator:</t>
        </r>
        <r>
          <rPr>
            <sz val="9"/>
            <color indexed="81"/>
            <rFont val="Tahoma"/>
            <family val="2"/>
          </rPr>
          <t xml:space="preserve">
UG IMF RED 1983, Table 15.
(Incl. unallocated)</t>
        </r>
      </text>
    </comment>
    <comment ref="AX125" authorId="1" shapeId="0">
      <text>
        <r>
          <rPr>
            <b/>
            <sz val="9"/>
            <color indexed="81"/>
            <rFont val="Tahoma"/>
            <family val="2"/>
          </rPr>
          <t>Administrator:</t>
        </r>
        <r>
          <rPr>
            <sz val="9"/>
            <color indexed="81"/>
            <rFont val="Tahoma"/>
            <family val="2"/>
          </rPr>
          <t xml:space="preserve">
UG IMF RED 1987, Table 12</t>
        </r>
      </text>
    </comment>
    <comment ref="BC125" authorId="1" shapeId="0">
      <text>
        <r>
          <rPr>
            <b/>
            <sz val="9"/>
            <color indexed="81"/>
            <rFont val="Tahoma"/>
            <family val="2"/>
          </rPr>
          <t>Administrator:</t>
        </r>
        <r>
          <rPr>
            <sz val="9"/>
            <color indexed="81"/>
            <rFont val="Tahoma"/>
            <family val="2"/>
          </rPr>
          <t xml:space="preserve">
UG IMF RED 1988, Table 12.</t>
        </r>
      </text>
    </comment>
    <comment ref="BE125" authorId="1" shapeId="0">
      <text>
        <r>
          <rPr>
            <b/>
            <sz val="9"/>
            <color indexed="81"/>
            <rFont val="Tahoma"/>
            <family val="2"/>
          </rPr>
          <t>Administrator:</t>
        </r>
        <r>
          <rPr>
            <sz val="9"/>
            <color indexed="81"/>
            <rFont val="Tahoma"/>
            <family val="2"/>
          </rPr>
          <t xml:space="preserve">
UG IMF SA 1993, Table 21.</t>
        </r>
      </text>
    </comment>
    <comment ref="BI125" authorId="1" shapeId="0">
      <text>
        <r>
          <rPr>
            <b/>
            <sz val="9"/>
            <color indexed="81"/>
            <rFont val="Tahoma"/>
            <family val="2"/>
          </rPr>
          <t>Administrator:</t>
        </r>
        <r>
          <rPr>
            <sz val="9"/>
            <color indexed="81"/>
            <rFont val="Tahoma"/>
            <family val="2"/>
          </rPr>
          <t xml:space="preserve">
UG IMF SA 1998, Table 21.</t>
        </r>
      </text>
    </comment>
    <comment ref="BL125" authorId="0" shapeId="0">
      <text>
        <r>
          <rPr>
            <b/>
            <sz val="9"/>
            <color indexed="81"/>
            <rFont val="Tahoma"/>
            <family val="2"/>
          </rPr>
          <t>Rebecca:</t>
        </r>
        <r>
          <rPr>
            <sz val="9"/>
            <color indexed="81"/>
            <rFont val="Tahoma"/>
            <family val="2"/>
          </rPr>
          <t xml:space="preserve">
UG IMF SA 2001, Table 20.</t>
        </r>
      </text>
    </comment>
    <comment ref="BP125" authorId="1" shapeId="0">
      <text>
        <r>
          <rPr>
            <b/>
            <sz val="9"/>
            <color indexed="81"/>
            <rFont val="Tahoma"/>
            <family val="2"/>
          </rPr>
          <t>Administrator:</t>
        </r>
        <r>
          <rPr>
            <sz val="9"/>
            <color indexed="81"/>
            <rFont val="Tahoma"/>
            <family val="2"/>
          </rPr>
          <t xml:space="preserve">
UG IMF SA 2005, Table 16.</t>
        </r>
      </text>
    </comment>
    <comment ref="BU125" authorId="1" shapeId="0">
      <text>
        <r>
          <rPr>
            <b/>
            <sz val="9"/>
            <color indexed="81"/>
            <rFont val="Tahoma"/>
            <family val="2"/>
          </rPr>
          <t>Administrator:</t>
        </r>
        <r>
          <rPr>
            <sz val="9"/>
            <color indexed="81"/>
            <rFont val="Tahoma"/>
            <family val="2"/>
          </rPr>
          <t xml:space="preserve">
UG IMF ARTICLE IV 2007, Table 2.</t>
        </r>
      </text>
    </comment>
    <comment ref="BX125" authorId="1" shapeId="0">
      <text>
        <r>
          <rPr>
            <b/>
            <sz val="9"/>
            <color indexed="81"/>
            <rFont val="Tahoma"/>
            <family val="2"/>
          </rPr>
          <t>Administrator:</t>
        </r>
        <r>
          <rPr>
            <sz val="9"/>
            <color indexed="81"/>
            <rFont val="Tahoma"/>
            <family val="2"/>
          </rPr>
          <t xml:space="preserve">
UG IMF ARTICLE IV 2009, Table 2.</t>
        </r>
      </text>
    </comment>
    <comment ref="BY125" authorId="1" shapeId="0">
      <text>
        <r>
          <rPr>
            <b/>
            <sz val="9"/>
            <color indexed="81"/>
            <rFont val="Tahoma"/>
            <family val="2"/>
          </rPr>
          <t>Administrator:</t>
        </r>
        <r>
          <rPr>
            <sz val="9"/>
            <color indexed="81"/>
            <rFont val="Tahoma"/>
            <family val="2"/>
          </rPr>
          <t xml:space="preserve">
</t>
        </r>
      </text>
    </comment>
    <comment ref="CA125" authorId="1" shapeId="0">
      <text>
        <r>
          <rPr>
            <b/>
            <sz val="9"/>
            <color indexed="81"/>
            <rFont val="Tahoma"/>
            <family val="2"/>
          </rPr>
          <t>Administrator:</t>
        </r>
        <r>
          <rPr>
            <sz val="9"/>
            <color indexed="81"/>
            <rFont val="Tahoma"/>
            <family val="2"/>
          </rPr>
          <t xml:space="preserve">
UG SA 2016, Table 4.4.A.</t>
        </r>
      </text>
    </comment>
    <comment ref="BH126" authorId="0" shapeId="0">
      <text>
        <r>
          <rPr>
            <b/>
            <sz val="9"/>
            <color indexed="81"/>
            <rFont val="Tahoma"/>
            <family val="2"/>
          </rPr>
          <t>Rebecca:</t>
        </r>
        <r>
          <rPr>
            <sz val="9"/>
            <color indexed="81"/>
            <rFont val="Tahoma"/>
            <family val="2"/>
          </rPr>
          <t xml:space="preserve">
IMF 1997 stats appendix</t>
        </r>
      </text>
    </comment>
    <comment ref="AP127" authorId="1" shapeId="0">
      <text>
        <r>
          <rPr>
            <b/>
            <sz val="9"/>
            <color indexed="81"/>
            <rFont val="Tahoma"/>
            <family val="2"/>
          </rPr>
          <t>Administrator:</t>
        </r>
        <r>
          <rPr>
            <sz val="9"/>
            <color indexed="81"/>
            <rFont val="Tahoma"/>
            <family val="2"/>
          </rPr>
          <t xml:space="preserve">
Estimated at 40% of recurrent exp, as per IMF RED 1983 report</t>
        </r>
      </text>
    </comment>
    <comment ref="AX127" authorId="1" shapeId="0">
      <text>
        <r>
          <rPr>
            <b/>
            <sz val="9"/>
            <color indexed="81"/>
            <rFont val="Tahoma"/>
            <family val="2"/>
          </rPr>
          <t>Administrator:</t>
        </r>
        <r>
          <rPr>
            <sz val="9"/>
            <color indexed="81"/>
            <rFont val="Tahoma"/>
            <family val="2"/>
          </rPr>
          <t xml:space="preserve">
Note: does not appear to include group employees.</t>
        </r>
      </text>
    </comment>
    <comment ref="BF127" authorId="1" shapeId="0">
      <text>
        <r>
          <rPr>
            <b/>
            <sz val="9"/>
            <color indexed="81"/>
            <rFont val="Tahoma"/>
            <family val="2"/>
          </rPr>
          <t>Administrator:</t>
        </r>
        <r>
          <rPr>
            <sz val="9"/>
            <color indexed="81"/>
            <rFont val="Tahoma"/>
            <family val="2"/>
          </rPr>
          <t xml:space="preserve">
MATCHES IMF EST...
Base wages for traditional civil service, incl. group employees. WB 1991 study. Allowance and overtime estimated at an additional 1628 m.</t>
        </r>
      </text>
    </comment>
    <comment ref="BR127" authorId="1" shapeId="0">
      <text>
        <r>
          <rPr>
            <b/>
            <sz val="9"/>
            <color indexed="81"/>
            <rFont val="Tahoma"/>
            <family val="2"/>
          </rPr>
          <t>Administrator:</t>
        </r>
        <r>
          <rPr>
            <sz val="9"/>
            <color indexed="81"/>
            <rFont val="Tahoma"/>
            <family val="2"/>
          </rPr>
          <t xml:space="preserve">
Have doubled checked against 2002 SA and budget report, details. 
Covers wages and salaries for the central govt (all ministries) and all district salaries (vast majority of lg). Excludes development budget personnel costs and urban councils I think, and not all uni wage costs - these are both quite small though. Also seems to exclude allowances for CG. 
Based on 2002 SA, think it would be 25% higher if these other personnel exp were added in.</t>
        </r>
      </text>
    </comment>
    <comment ref="CA127" authorId="1" shapeId="0">
      <text>
        <r>
          <rPr>
            <b/>
            <sz val="9"/>
            <color indexed="81"/>
            <rFont val="Tahoma"/>
            <family val="2"/>
          </rPr>
          <t>Administrator:</t>
        </r>
        <r>
          <rPr>
            <sz val="9"/>
            <color indexed="81"/>
            <rFont val="Tahoma"/>
            <family val="2"/>
          </rPr>
          <t xml:space="preserve">
Change in wage bill coverage I think - would be 1659.5 using old def/class</t>
        </r>
      </text>
    </comment>
    <comment ref="U130" authorId="1" shapeId="0">
      <text>
        <r>
          <rPr>
            <b/>
            <sz val="9"/>
            <color indexed="81"/>
            <rFont val="Tahoma"/>
            <family val="2"/>
          </rPr>
          <t>Administrator:</t>
        </r>
        <r>
          <rPr>
            <sz val="9"/>
            <color indexed="81"/>
            <rFont val="Tahoma"/>
            <family val="2"/>
          </rPr>
          <t xml:space="preserve">
Not at all clear how this is calculated. Cannot attribute to much meaning to this.</t>
        </r>
      </text>
    </comment>
    <comment ref="AX130" authorId="1" shapeId="0">
      <text>
        <r>
          <rPr>
            <b/>
            <sz val="9"/>
            <color indexed="81"/>
            <rFont val="Tahoma"/>
            <family val="2"/>
          </rPr>
          <t>Administrator:</t>
        </r>
        <r>
          <rPr>
            <sz val="9"/>
            <color indexed="81"/>
            <rFont val="Tahoma"/>
            <family val="2"/>
          </rPr>
          <t xml:space="preserve">
Footnote in IMF report to say that the entire defence budget (incl. dev component) counted under recurrent spending.</t>
        </r>
      </text>
    </comment>
    <comment ref="C131" authorId="0" shapeId="0">
      <text>
        <r>
          <rPr>
            <b/>
            <sz val="9"/>
            <color indexed="81"/>
            <rFont val="Tahoma"/>
            <family val="2"/>
          </rPr>
          <t>Rebecca:</t>
        </r>
        <r>
          <rPr>
            <sz val="9"/>
            <color indexed="81"/>
            <rFont val="Tahoma"/>
            <family val="2"/>
          </rPr>
          <t xml:space="preserve">
 (arrears repayment and such)</t>
        </r>
      </text>
    </comment>
    <comment ref="BO131" authorId="0" shapeId="0">
      <text>
        <r>
          <rPr>
            <b/>
            <sz val="9"/>
            <color indexed="81"/>
            <rFont val="Tahoma"/>
            <family val="2"/>
          </rPr>
          <t>Rebecca:</t>
        </r>
        <r>
          <rPr>
            <sz val="9"/>
            <color indexed="81"/>
            <rFont val="Tahoma"/>
            <family val="2"/>
          </rPr>
          <t xml:space="preserve">
arrears repayments and net lending etc.</t>
        </r>
      </text>
    </comment>
    <comment ref="BP133" authorId="1" shapeId="0">
      <text>
        <r>
          <rPr>
            <b/>
            <sz val="9"/>
            <color indexed="81"/>
            <rFont val="Tahoma"/>
            <family val="2"/>
          </rPr>
          <t>Administrator:</t>
        </r>
        <r>
          <rPr>
            <sz val="9"/>
            <color indexed="81"/>
            <rFont val="Tahoma"/>
            <family val="2"/>
          </rPr>
          <t xml:space="preserve">
Net lending and investment (related to recap of BoU) - should be classified under development (?)</t>
        </r>
      </text>
    </comment>
    <comment ref="W135" authorId="1" shapeId="0">
      <text>
        <r>
          <rPr>
            <b/>
            <sz val="9"/>
            <color indexed="81"/>
            <rFont val="Tahoma"/>
            <family val="2"/>
          </rPr>
          <t>Administrator:</t>
        </r>
        <r>
          <rPr>
            <sz val="9"/>
            <color indexed="81"/>
            <rFont val="Tahoma"/>
            <family val="2"/>
          </rPr>
          <t xml:space="preserve">
UG SA 1957, Table UL.4</t>
        </r>
      </text>
    </comment>
    <comment ref="AA135" authorId="1" shapeId="0">
      <text>
        <r>
          <rPr>
            <b/>
            <sz val="9"/>
            <color indexed="81"/>
            <rFont val="Tahoma"/>
            <family val="2"/>
          </rPr>
          <t>Administrator:</t>
        </r>
        <r>
          <rPr>
            <sz val="9"/>
            <color indexed="81"/>
            <rFont val="Tahoma"/>
            <family val="2"/>
          </rPr>
          <t xml:space="preserve">
UG SA 1962, UM.4</t>
        </r>
      </text>
    </comment>
    <comment ref="AE135" authorId="1" shapeId="0">
      <text>
        <r>
          <rPr>
            <b/>
            <sz val="9"/>
            <color indexed="81"/>
            <rFont val="Tahoma"/>
            <family val="2"/>
          </rPr>
          <t>Administrator:</t>
        </r>
        <r>
          <rPr>
            <sz val="9"/>
            <color indexed="81"/>
            <rFont val="Tahoma"/>
            <family val="2"/>
          </rPr>
          <t xml:space="preserve">
UG SA 1964, Table UM.4</t>
        </r>
      </text>
    </comment>
    <comment ref="AF135" authorId="1" shapeId="0">
      <text>
        <r>
          <rPr>
            <b/>
            <sz val="9"/>
            <color indexed="81"/>
            <rFont val="Tahoma"/>
            <family val="2"/>
          </rPr>
          <t>Administrator:</t>
        </r>
        <r>
          <rPr>
            <sz val="9"/>
            <color indexed="81"/>
            <rFont val="Tahoma"/>
            <family val="2"/>
          </rPr>
          <t xml:space="preserve">
UG SA 1966, Table UM.4</t>
        </r>
      </text>
    </comment>
    <comment ref="AJ135" authorId="1" shapeId="0">
      <text>
        <r>
          <rPr>
            <b/>
            <sz val="9"/>
            <color indexed="81"/>
            <rFont val="Tahoma"/>
            <family val="2"/>
          </rPr>
          <t>Administrator:</t>
        </r>
        <r>
          <rPr>
            <sz val="9"/>
            <color indexed="81"/>
            <rFont val="Tahoma"/>
            <family val="2"/>
          </rPr>
          <t xml:space="preserve">
Imputed</t>
        </r>
      </text>
    </comment>
    <comment ref="AL135" authorId="1" shapeId="0">
      <text>
        <r>
          <rPr>
            <b/>
            <sz val="9"/>
            <color indexed="81"/>
            <rFont val="Tahoma"/>
            <family val="2"/>
          </rPr>
          <t>Administrator:</t>
        </r>
        <r>
          <rPr>
            <sz val="9"/>
            <color indexed="81"/>
            <rFont val="Tahoma"/>
            <family val="2"/>
          </rPr>
          <t xml:space="preserve">
UG IMF RED 1972, Table XVII &amp; XVIII </t>
        </r>
      </text>
    </comment>
    <comment ref="AN135" authorId="1" shapeId="0">
      <text>
        <r>
          <rPr>
            <b/>
            <sz val="9"/>
            <color indexed="81"/>
            <rFont val="Tahoma"/>
            <family val="2"/>
          </rPr>
          <t>Administrator:</t>
        </r>
        <r>
          <rPr>
            <sz val="9"/>
            <color indexed="81"/>
            <rFont val="Tahoma"/>
            <family val="2"/>
          </rPr>
          <t xml:space="preserve">
UG IMF RED 1976, Tables 14 &amp; 15.</t>
        </r>
      </text>
    </comment>
    <comment ref="AS135" authorId="1" shapeId="0">
      <text>
        <r>
          <rPr>
            <b/>
            <sz val="9"/>
            <color indexed="81"/>
            <rFont val="Tahoma"/>
            <family val="2"/>
          </rPr>
          <t>Administrator:</t>
        </r>
        <r>
          <rPr>
            <sz val="9"/>
            <color indexed="81"/>
            <rFont val="Tahoma"/>
            <family val="2"/>
          </rPr>
          <t xml:space="preserve">
UG WB PER 1982, Table 5.3 &amp; 5.4.</t>
        </r>
      </text>
    </comment>
    <comment ref="AY135" authorId="1" shapeId="0">
      <text>
        <r>
          <rPr>
            <b/>
            <sz val="9"/>
            <color indexed="81"/>
            <rFont val="Tahoma"/>
            <family val="2"/>
          </rPr>
          <t>Administrator:</t>
        </r>
        <r>
          <rPr>
            <sz val="9"/>
            <color indexed="81"/>
            <rFont val="Tahoma"/>
            <family val="2"/>
          </rPr>
          <t xml:space="preserve">
UG BTB 1989/90, Table 10 &amp; 12.</t>
        </r>
      </text>
    </comment>
    <comment ref="BF135" authorId="1" shapeId="0">
      <text>
        <r>
          <rPr>
            <b/>
            <sz val="9"/>
            <color indexed="81"/>
            <rFont val="Tahoma"/>
            <family val="2"/>
          </rPr>
          <t>Administrator:</t>
        </r>
        <r>
          <rPr>
            <sz val="9"/>
            <color indexed="81"/>
            <rFont val="Tahoma"/>
            <family val="2"/>
          </rPr>
          <t xml:space="preserve">
UG IMF SA 1993, Table 22 &amp; 24. 
(Rec defence estimated at 85% of security expenditure.)</t>
        </r>
      </text>
    </comment>
    <comment ref="BJ135" authorId="1" shapeId="0">
      <text>
        <r>
          <rPr>
            <b/>
            <sz val="9"/>
            <color indexed="81"/>
            <rFont val="Tahoma"/>
            <family val="2"/>
          </rPr>
          <t>Administrator:</t>
        </r>
        <r>
          <rPr>
            <sz val="9"/>
            <color indexed="81"/>
            <rFont val="Tahoma"/>
            <family val="2"/>
          </rPr>
          <t xml:space="preserve">
UG IMF SA 1998, Table 22 &amp; 24.</t>
        </r>
      </text>
    </comment>
    <comment ref="BK135" authorId="1" shapeId="0">
      <text>
        <r>
          <rPr>
            <b/>
            <sz val="9"/>
            <color indexed="81"/>
            <rFont val="Tahoma"/>
            <family val="2"/>
          </rPr>
          <t>Administrator:</t>
        </r>
        <r>
          <rPr>
            <sz val="9"/>
            <color indexed="81"/>
            <rFont val="Tahoma"/>
            <family val="2"/>
          </rPr>
          <t xml:space="preserve">
UG IMF SA 2001, Table 22.</t>
        </r>
      </text>
    </comment>
    <comment ref="BN135" authorId="1" shapeId="0">
      <text>
        <r>
          <rPr>
            <b/>
            <sz val="9"/>
            <color indexed="81"/>
            <rFont val="Tahoma"/>
            <family val="2"/>
          </rPr>
          <t>Administrator:</t>
        </r>
        <r>
          <rPr>
            <sz val="9"/>
            <color indexed="81"/>
            <rFont val="Tahoma"/>
            <family val="2"/>
          </rPr>
          <t xml:space="preserve">
UG SA 2002, Table 4.3.E(a) &amp; </t>
        </r>
      </text>
    </comment>
    <comment ref="BS135" authorId="1" shapeId="0">
      <text>
        <r>
          <rPr>
            <b/>
            <sz val="9"/>
            <color indexed="81"/>
            <rFont val="Tahoma"/>
            <family val="2"/>
          </rPr>
          <t>Administrator:</t>
        </r>
        <r>
          <rPr>
            <sz val="9"/>
            <color indexed="81"/>
            <rFont val="Tahoma"/>
            <family val="2"/>
          </rPr>
          <t xml:space="preserve">
Imputed.</t>
        </r>
      </text>
    </comment>
    <comment ref="BT135" authorId="1" shapeId="0">
      <text>
        <r>
          <rPr>
            <b/>
            <sz val="9"/>
            <color indexed="81"/>
            <rFont val="Tahoma"/>
            <family val="2"/>
          </rPr>
          <t>Administrator:</t>
        </r>
        <r>
          <rPr>
            <sz val="9"/>
            <color indexed="81"/>
            <rFont val="Tahoma"/>
            <family val="2"/>
          </rPr>
          <t xml:space="preserve">
UG SA 2008, Table 4.3.D(i), </t>
        </r>
      </text>
    </comment>
    <comment ref="BX135" authorId="1" shapeId="0">
      <text>
        <r>
          <rPr>
            <b/>
            <sz val="9"/>
            <color indexed="81"/>
            <rFont val="Tahoma"/>
            <family val="2"/>
          </rPr>
          <t>Administrator:</t>
        </r>
        <r>
          <rPr>
            <sz val="9"/>
            <color indexed="81"/>
            <rFont val="Tahoma"/>
            <family val="2"/>
          </rPr>
          <t xml:space="preserve">
UG SA 2012, Table 4.4.C(a) &amp; 4.4.D(a) </t>
        </r>
      </text>
    </comment>
    <comment ref="BJ137" authorId="1" shapeId="0">
      <text>
        <r>
          <rPr>
            <b/>
            <sz val="9"/>
            <color indexed="81"/>
            <rFont val="Tahoma"/>
            <family val="2"/>
          </rPr>
          <t>Administrator:</t>
        </r>
        <r>
          <rPr>
            <sz val="9"/>
            <color indexed="81"/>
            <rFont val="Tahoma"/>
            <family val="2"/>
          </rPr>
          <t xml:space="preserve">
Assumed at 3% of recurrent defence spending.</t>
        </r>
      </text>
    </comment>
    <comment ref="BK137" authorId="1" shapeId="0">
      <text>
        <r>
          <rPr>
            <b/>
            <sz val="9"/>
            <color indexed="81"/>
            <rFont val="Tahoma"/>
            <family val="2"/>
          </rPr>
          <t>Administrator:</t>
        </r>
        <r>
          <rPr>
            <sz val="9"/>
            <color indexed="81"/>
            <rFont val="Tahoma"/>
            <family val="2"/>
          </rPr>
          <t xml:space="preserve">
Assumed at 3% of recurrent defence spending.</t>
        </r>
      </text>
    </comment>
    <comment ref="AD139" authorId="1" shapeId="0">
      <text>
        <r>
          <rPr>
            <b/>
            <sz val="9"/>
            <color indexed="81"/>
            <rFont val="Tahoma"/>
            <family val="2"/>
          </rPr>
          <t>Administrator:</t>
        </r>
        <r>
          <rPr>
            <sz val="9"/>
            <color indexed="81"/>
            <rFont val="Tahoma"/>
            <family val="2"/>
          </rPr>
          <t xml:space="preserve">
IMF article IV 1965</t>
        </r>
      </text>
    </comment>
    <comment ref="AL139" authorId="1" shapeId="0">
      <text>
        <r>
          <rPr>
            <b/>
            <sz val="9"/>
            <color indexed="81"/>
            <rFont val="Tahoma"/>
            <family val="2"/>
          </rPr>
          <t>Administrator:</t>
        </r>
        <r>
          <rPr>
            <sz val="9"/>
            <color indexed="81"/>
            <rFont val="Tahoma"/>
            <family val="2"/>
          </rPr>
          <t xml:space="preserve">
IMF RED 1972</t>
        </r>
      </text>
    </comment>
    <comment ref="AV139" authorId="1" shapeId="0">
      <text>
        <r>
          <rPr>
            <b/>
            <sz val="9"/>
            <color indexed="81"/>
            <rFont val="Tahoma"/>
            <family val="2"/>
          </rPr>
          <t>Administrator:</t>
        </r>
        <r>
          <rPr>
            <sz val="9"/>
            <color indexed="81"/>
            <rFont val="Tahoma"/>
            <family val="2"/>
          </rPr>
          <t xml:space="preserve">
IMF RED 1983</t>
        </r>
      </text>
    </comment>
    <comment ref="BF139" authorId="1" shapeId="0">
      <text>
        <r>
          <rPr>
            <b/>
            <sz val="9"/>
            <color indexed="81"/>
            <rFont val="Tahoma"/>
            <family val="2"/>
          </rPr>
          <t>Administrator:</t>
        </r>
        <r>
          <rPr>
            <sz val="9"/>
            <color indexed="81"/>
            <rFont val="Tahoma"/>
            <family val="2"/>
          </rPr>
          <t xml:space="preserve">
UG IMF SA 1993</t>
        </r>
      </text>
    </comment>
    <comment ref="BP139" authorId="1" shapeId="0">
      <text>
        <r>
          <rPr>
            <b/>
            <sz val="9"/>
            <color indexed="81"/>
            <rFont val="Tahoma"/>
            <family val="2"/>
          </rPr>
          <t>Administrator:</t>
        </r>
        <r>
          <rPr>
            <sz val="9"/>
            <color indexed="81"/>
            <rFont val="Tahoma"/>
            <family val="2"/>
          </rPr>
          <t xml:space="preserve">
UG SA 2002
Doesn't match totals above - may excl. externally funded dev budget
Excludes LG transfers… </t>
        </r>
      </text>
    </comment>
    <comment ref="BQ139" authorId="1" shapeId="0">
      <text>
        <r>
          <rPr>
            <b/>
            <sz val="9"/>
            <color indexed="81"/>
            <rFont val="Tahoma"/>
            <family val="2"/>
          </rPr>
          <t>Administrator:</t>
        </r>
        <r>
          <rPr>
            <sz val="9"/>
            <color indexed="81"/>
            <rFont val="Tahoma"/>
            <family val="2"/>
          </rPr>
          <t xml:space="preserve">
MOF budget performance report 2001/02</t>
        </r>
      </text>
    </comment>
    <comment ref="AD140" authorId="1" shapeId="0">
      <text>
        <r>
          <rPr>
            <b/>
            <sz val="9"/>
            <color indexed="81"/>
            <rFont val="Tahoma"/>
            <family val="2"/>
          </rPr>
          <t>Administrator:</t>
        </r>
        <r>
          <rPr>
            <sz val="9"/>
            <color indexed="81"/>
            <rFont val="Tahoma"/>
            <family val="2"/>
          </rPr>
          <t xml:space="preserve">
IMF article IV 1965</t>
        </r>
      </text>
    </comment>
    <comment ref="AL140" authorId="1" shapeId="0">
      <text>
        <r>
          <rPr>
            <b/>
            <sz val="9"/>
            <color indexed="81"/>
            <rFont val="Tahoma"/>
            <family val="2"/>
          </rPr>
          <t>Administrator:</t>
        </r>
        <r>
          <rPr>
            <sz val="9"/>
            <color indexed="81"/>
            <rFont val="Tahoma"/>
            <family val="2"/>
          </rPr>
          <t xml:space="preserve">
IMF RED 1972</t>
        </r>
      </text>
    </comment>
    <comment ref="AV140" authorId="1" shapeId="0">
      <text>
        <r>
          <rPr>
            <b/>
            <sz val="9"/>
            <color indexed="81"/>
            <rFont val="Tahoma"/>
            <family val="2"/>
          </rPr>
          <t>Administrator:</t>
        </r>
        <r>
          <rPr>
            <sz val="9"/>
            <color indexed="81"/>
            <rFont val="Tahoma"/>
            <family val="2"/>
          </rPr>
          <t xml:space="preserve">
IMF RED 1983</t>
        </r>
      </text>
    </comment>
    <comment ref="BF140" authorId="1" shapeId="0">
      <text>
        <r>
          <rPr>
            <b/>
            <sz val="9"/>
            <color indexed="81"/>
            <rFont val="Tahoma"/>
            <family val="2"/>
          </rPr>
          <t>Administrator:</t>
        </r>
        <r>
          <rPr>
            <sz val="9"/>
            <color indexed="81"/>
            <rFont val="Tahoma"/>
            <family val="2"/>
          </rPr>
          <t xml:space="preserve">
UG IMF SA 1993</t>
        </r>
      </text>
    </comment>
    <comment ref="BP140" authorId="1" shapeId="0">
      <text>
        <r>
          <rPr>
            <b/>
            <sz val="9"/>
            <color indexed="81"/>
            <rFont val="Tahoma"/>
            <family val="2"/>
          </rPr>
          <t>Administrator:</t>
        </r>
        <r>
          <rPr>
            <sz val="9"/>
            <color indexed="81"/>
            <rFont val="Tahoma"/>
            <family val="2"/>
          </rPr>
          <t xml:space="preserve">
UG SA 2002
Doesn't match totals above - may excl. externally funded dev budget
Excludes LG transfers… </t>
        </r>
      </text>
    </comment>
    <comment ref="BQ140" authorId="1" shapeId="0">
      <text>
        <r>
          <rPr>
            <b/>
            <sz val="9"/>
            <color indexed="81"/>
            <rFont val="Tahoma"/>
            <family val="2"/>
          </rPr>
          <t>Administrator:</t>
        </r>
        <r>
          <rPr>
            <sz val="9"/>
            <color indexed="81"/>
            <rFont val="Tahoma"/>
            <family val="2"/>
          </rPr>
          <t xml:space="preserve">
MOF budget performance report 2001/02</t>
        </r>
      </text>
    </comment>
    <comment ref="AU143" authorId="1" shapeId="0">
      <text>
        <r>
          <rPr>
            <b/>
            <sz val="9"/>
            <color indexed="81"/>
            <rFont val="Tahoma"/>
            <family val="2"/>
          </rPr>
          <t>Administrator:</t>
        </r>
        <r>
          <rPr>
            <sz val="9"/>
            <color indexed="81"/>
            <rFont val="Tahoma"/>
            <family val="2"/>
          </rPr>
          <t xml:space="preserve">
ON A COMMITMENT BASIS. HAVE INCLUDED UNALLOCATED HERE, OTHERWISE NOT POSSIBLE TO SHOW ROUGH SHARES.</t>
        </r>
      </text>
    </comment>
    <comment ref="W144" authorId="1" shapeId="0">
      <text>
        <r>
          <rPr>
            <b/>
            <sz val="9"/>
            <color indexed="81"/>
            <rFont val="Tahoma"/>
            <family val="2"/>
          </rPr>
          <t>Administrator:</t>
        </r>
        <r>
          <rPr>
            <sz val="9"/>
            <color indexed="81"/>
            <rFont val="Tahoma"/>
            <family val="2"/>
          </rPr>
          <t xml:space="preserve">
Taken from EES up until 1975. Total government earnings excluding those in transport and communications (most of whom likely work for the EA parastatals)</t>
        </r>
      </text>
    </comment>
    <comment ref="AS144" authorId="1" shapeId="0">
      <text>
        <r>
          <rPr>
            <b/>
            <sz val="9"/>
            <color indexed="81"/>
            <rFont val="Tahoma"/>
            <family val="2"/>
          </rPr>
          <t>Administrator:</t>
        </r>
        <r>
          <rPr>
            <sz val="9"/>
            <color indexed="81"/>
            <rFont val="Tahoma"/>
            <family val="2"/>
          </rPr>
          <t xml:space="preserve">
Fiscal accounts from here.</t>
        </r>
      </text>
    </comment>
    <comment ref="AX148" authorId="1" shapeId="0">
      <text>
        <r>
          <rPr>
            <b/>
            <sz val="9"/>
            <color indexed="81"/>
            <rFont val="Tahoma"/>
            <family val="2"/>
          </rPr>
          <t>Administrator:</t>
        </r>
        <r>
          <rPr>
            <sz val="9"/>
            <color indexed="81"/>
            <rFont val="Tahoma"/>
            <family val="2"/>
          </rPr>
          <t xml:space="preserve">
Change in formula to reflect fact that IMF classifying defence dev as a recurrent cost here.</t>
        </r>
      </text>
    </comment>
    <comment ref="BP148" authorId="1" shapeId="0">
      <text>
        <r>
          <rPr>
            <b/>
            <sz val="9"/>
            <color indexed="81"/>
            <rFont val="Tahoma"/>
            <family val="2"/>
          </rPr>
          <t>Administrator:</t>
        </r>
        <r>
          <rPr>
            <sz val="9"/>
            <color indexed="81"/>
            <rFont val="Tahoma"/>
            <family val="2"/>
          </rPr>
          <t xml:space="preserve">
Have included net lending and investment here.</t>
        </r>
      </text>
    </comment>
    <comment ref="AB151" authorId="1" shapeId="0">
      <text>
        <r>
          <rPr>
            <b/>
            <sz val="9"/>
            <color indexed="81"/>
            <rFont val="Tahoma"/>
            <family val="2"/>
          </rPr>
          <t>Administrator:</t>
        </r>
        <r>
          <rPr>
            <sz val="9"/>
            <color indexed="81"/>
            <rFont val="Tahoma"/>
            <family val="2"/>
          </rPr>
          <t xml:space="preserve">
WDI 
(Note, there was an error in the WDI GDP aggregates for Uganda, so this has been derived by multiplying GDP pc with population)</t>
        </r>
      </text>
    </comment>
    <comment ref="V152" authorId="1" shapeId="0">
      <text>
        <r>
          <rPr>
            <b/>
            <sz val="9"/>
            <color indexed="81"/>
            <rFont val="Tahoma"/>
            <family val="2"/>
          </rPr>
          <t>Administrator:</t>
        </r>
        <r>
          <rPr>
            <sz val="9"/>
            <color indexed="81"/>
            <rFont val="Tahoma"/>
            <family val="2"/>
          </rPr>
          <t xml:space="preserve">
UG WB EM 1961, Table 3.</t>
        </r>
      </text>
    </comment>
    <comment ref="AB152" authorId="1" shapeId="0">
      <text>
        <r>
          <rPr>
            <b/>
            <sz val="9"/>
            <color indexed="81"/>
            <rFont val="Tahoma"/>
            <family val="2"/>
          </rPr>
          <t>Administrator:</t>
        </r>
        <r>
          <rPr>
            <sz val="9"/>
            <color indexed="81"/>
            <rFont val="Tahoma"/>
            <family val="2"/>
          </rPr>
          <t xml:space="preserve">
UG WB EM 1964, Table 2a.</t>
        </r>
      </text>
    </comment>
    <comment ref="W153" authorId="1" shapeId="0">
      <text>
        <r>
          <rPr>
            <b/>
            <sz val="9"/>
            <color indexed="81"/>
            <rFont val="Tahoma"/>
            <family val="2"/>
          </rPr>
          <t>Administrator:</t>
        </r>
        <r>
          <rPr>
            <sz val="9"/>
            <color indexed="81"/>
            <rFont val="Tahoma"/>
            <family val="2"/>
          </rPr>
          <t xml:space="preserve">
Estimated at 35% higher than GDP at factor cost.</t>
        </r>
      </text>
    </comment>
    <comment ref="Q157" authorId="0" shapeId="0">
      <text>
        <r>
          <rPr>
            <b/>
            <sz val="9"/>
            <color indexed="81"/>
            <rFont val="Tahoma"/>
            <family val="2"/>
          </rPr>
          <t>Rebecca:</t>
        </r>
        <r>
          <rPr>
            <sz val="9"/>
            <color indexed="81"/>
            <rFont val="Tahoma"/>
            <family val="2"/>
          </rPr>
          <t xml:space="preserve">
UG SA 1957, Table UQ.2
All racial groups</t>
        </r>
      </text>
    </comment>
    <comment ref="W157" authorId="0" shapeId="0">
      <text>
        <r>
          <rPr>
            <b/>
            <sz val="9"/>
            <color indexed="81"/>
            <rFont val="Tahoma"/>
            <family val="2"/>
          </rPr>
          <t>Rebecca:</t>
        </r>
        <r>
          <rPr>
            <sz val="9"/>
            <color indexed="81"/>
            <rFont val="Tahoma"/>
            <family val="2"/>
          </rPr>
          <t xml:space="preserve">
UG SA 1960, Table UR.2
</t>
        </r>
      </text>
    </comment>
    <comment ref="AB157" authorId="0" shapeId="0">
      <text>
        <r>
          <rPr>
            <b/>
            <sz val="9"/>
            <color indexed="81"/>
            <rFont val="Tahoma"/>
            <family val="2"/>
          </rPr>
          <t>Rebecca:</t>
        </r>
        <r>
          <rPr>
            <sz val="9"/>
            <color indexed="81"/>
            <rFont val="Tahoma"/>
            <family val="2"/>
          </rPr>
          <t xml:space="preserve">
UG SA 1960, Table UR.2</t>
        </r>
      </text>
    </comment>
    <comment ref="AC157" authorId="0" shapeId="0">
      <text>
        <r>
          <rPr>
            <b/>
            <sz val="9"/>
            <color indexed="81"/>
            <rFont val="Tahoma"/>
            <family val="2"/>
          </rPr>
          <t>Rebecca:</t>
        </r>
        <r>
          <rPr>
            <sz val="9"/>
            <color indexed="81"/>
            <rFont val="Tahoma"/>
            <family val="2"/>
          </rPr>
          <t xml:space="preserve">
UG SA 1966, Table UR.2
Aided schools only!</t>
        </r>
      </text>
    </comment>
    <comment ref="AH157" authorId="0" shapeId="0">
      <text>
        <r>
          <rPr>
            <b/>
            <sz val="9"/>
            <color indexed="81"/>
            <rFont val="Tahoma"/>
            <family val="2"/>
          </rPr>
          <t>Rebecca:</t>
        </r>
        <r>
          <rPr>
            <sz val="9"/>
            <color indexed="81"/>
            <rFont val="Tahoma"/>
            <family val="2"/>
          </rPr>
          <t xml:space="preserve">
UG SA 1970, Table UR.2</t>
        </r>
      </text>
    </comment>
    <comment ref="AL157" authorId="1" shapeId="0">
      <text>
        <r>
          <rPr>
            <b/>
            <sz val="9"/>
            <color indexed="81"/>
            <rFont val="Tahoma"/>
            <family val="2"/>
          </rPr>
          <t>Administrator:</t>
        </r>
        <r>
          <rPr>
            <sz val="9"/>
            <color indexed="81"/>
            <rFont val="Tahoma"/>
            <family val="2"/>
          </rPr>
          <t xml:space="preserve">
UG ODAET 1990, Table 2.</t>
        </r>
      </text>
    </comment>
    <comment ref="AP157" authorId="1" shapeId="0">
      <text>
        <r>
          <rPr>
            <b/>
            <sz val="9"/>
            <color indexed="81"/>
            <rFont val="Tahoma"/>
            <family val="2"/>
          </rPr>
          <t>Administrator:</t>
        </r>
        <r>
          <rPr>
            <sz val="9"/>
            <color indexed="81"/>
            <rFont val="Tahoma"/>
            <family val="2"/>
          </rPr>
          <t xml:space="preserve">
UG WB PER 1985, Table A-2</t>
        </r>
      </text>
    </comment>
    <comment ref="AQ157" authorId="1" shapeId="0">
      <text>
        <r>
          <rPr>
            <b/>
            <sz val="9"/>
            <color indexed="81"/>
            <rFont val="Tahoma"/>
            <family val="2"/>
          </rPr>
          <t>Administrator:</t>
        </r>
        <r>
          <rPr>
            <sz val="9"/>
            <color indexed="81"/>
            <rFont val="Tahoma"/>
            <family val="2"/>
          </rPr>
          <t xml:space="preserve">
UG ODAET 1990, Table 2.</t>
        </r>
      </text>
    </comment>
    <comment ref="AR157" authorId="1" shapeId="0">
      <text>
        <r>
          <rPr>
            <b/>
            <sz val="9"/>
            <color indexed="81"/>
            <rFont val="Tahoma"/>
            <family val="2"/>
          </rPr>
          <t>Administrator:</t>
        </r>
        <r>
          <rPr>
            <sz val="9"/>
            <color indexed="81"/>
            <rFont val="Tahoma"/>
            <family val="2"/>
          </rPr>
          <t xml:space="preserve">
UG UNESCO 1983, Annex 20</t>
        </r>
      </text>
    </comment>
    <comment ref="AZ157" authorId="1" shapeId="0">
      <text>
        <r>
          <rPr>
            <b/>
            <sz val="9"/>
            <color indexed="81"/>
            <rFont val="Tahoma"/>
            <family val="2"/>
          </rPr>
          <t>Administrator:</t>
        </r>
        <r>
          <rPr>
            <sz val="9"/>
            <color indexed="81"/>
            <rFont val="Tahoma"/>
            <family val="2"/>
          </rPr>
          <t xml:space="preserve">
UG ODAET 1990, Table 2.</t>
        </r>
      </text>
    </comment>
    <comment ref="BE157" authorId="1" shapeId="0">
      <text>
        <r>
          <rPr>
            <b/>
            <sz val="9"/>
            <color indexed="81"/>
            <rFont val="Tahoma"/>
            <family val="2"/>
          </rPr>
          <t>Administrator:</t>
        </r>
        <r>
          <rPr>
            <sz val="9"/>
            <color indexed="81"/>
            <rFont val="Tahoma"/>
            <family val="2"/>
          </rPr>
          <t xml:space="preserve">
UG WB SSS PER 1993, Vol II, Statistical Annex E</t>
        </r>
      </text>
    </comment>
    <comment ref="BF157" authorId="1" shapeId="0">
      <text>
        <r>
          <rPr>
            <b/>
            <sz val="9"/>
            <color indexed="81"/>
            <rFont val="Tahoma"/>
            <family val="2"/>
          </rPr>
          <t>Administrator:</t>
        </r>
        <r>
          <rPr>
            <sz val="9"/>
            <color indexed="81"/>
            <rFont val="Tahoma"/>
            <family val="2"/>
          </rPr>
          <t xml:space="preserve">
UG WB SSS PER 1993, Vol II, Statistical Annex E</t>
        </r>
      </text>
    </comment>
    <comment ref="BM157" authorId="1" shapeId="0">
      <text>
        <r>
          <rPr>
            <b/>
            <sz val="9"/>
            <color indexed="81"/>
            <rFont val="Tahoma"/>
            <family val="2"/>
          </rPr>
          <t>Administrator:</t>
        </r>
        <r>
          <rPr>
            <sz val="9"/>
            <color indexed="81"/>
            <rFont val="Tahoma"/>
            <family val="2"/>
          </rPr>
          <t xml:space="preserve">
UG SA 2002, Section 2.2A</t>
        </r>
      </text>
    </comment>
    <comment ref="BP157" authorId="1" shapeId="0">
      <text>
        <r>
          <rPr>
            <b/>
            <sz val="9"/>
            <color indexed="81"/>
            <rFont val="Tahoma"/>
            <family val="2"/>
          </rPr>
          <t>Administrator:</t>
        </r>
        <r>
          <rPr>
            <sz val="9"/>
            <color indexed="81"/>
            <rFont val="Tahoma"/>
            <family val="2"/>
          </rPr>
          <t xml:space="preserve">
UG SA 2005, Table 2.2A</t>
        </r>
      </text>
    </comment>
    <comment ref="BU157" authorId="1" shapeId="0">
      <text>
        <r>
          <rPr>
            <b/>
            <sz val="9"/>
            <color indexed="81"/>
            <rFont val="Tahoma"/>
            <family val="2"/>
          </rPr>
          <t>Administrator:</t>
        </r>
        <r>
          <rPr>
            <sz val="9"/>
            <color indexed="81"/>
            <rFont val="Tahoma"/>
            <family val="2"/>
          </rPr>
          <t xml:space="preserve">
UG SA 2010, Table 2.2.A</t>
        </r>
      </text>
    </comment>
    <comment ref="BY157" authorId="1" shapeId="0">
      <text>
        <r>
          <rPr>
            <b/>
            <sz val="9"/>
            <color indexed="81"/>
            <rFont val="Tahoma"/>
            <family val="2"/>
          </rPr>
          <t>Administrator:</t>
        </r>
        <r>
          <rPr>
            <sz val="9"/>
            <color indexed="81"/>
            <rFont val="Tahoma"/>
            <family val="2"/>
          </rPr>
          <t xml:space="preserve">
UG SA 2014, Table 2.2A</t>
        </r>
      </text>
    </comment>
    <comment ref="Q159" authorId="0" shapeId="0">
      <text>
        <r>
          <rPr>
            <b/>
            <sz val="9"/>
            <color indexed="81"/>
            <rFont val="Tahoma"/>
            <family val="2"/>
          </rPr>
          <t>Rebecca:</t>
        </r>
        <r>
          <rPr>
            <sz val="9"/>
            <color indexed="81"/>
            <rFont val="Tahoma"/>
            <family val="2"/>
          </rPr>
          <t xml:space="preserve">
UG SA 1957, Table UQ.2 (secondary and post-primary, 1949-53)
All racial groups</t>
        </r>
      </text>
    </comment>
    <comment ref="W159" authorId="0" shapeId="0">
      <text>
        <r>
          <rPr>
            <b/>
            <sz val="9"/>
            <color indexed="81"/>
            <rFont val="Tahoma"/>
            <family val="2"/>
          </rPr>
          <t>Rebecca:</t>
        </r>
        <r>
          <rPr>
            <sz val="9"/>
            <color indexed="81"/>
            <rFont val="Tahoma"/>
            <family val="2"/>
          </rPr>
          <t xml:space="preserve">
UG SA 1960, Table UR.2
</t>
        </r>
      </text>
    </comment>
    <comment ref="AB159" authorId="0" shapeId="0">
      <text>
        <r>
          <rPr>
            <b/>
            <sz val="9"/>
            <color indexed="81"/>
            <rFont val="Tahoma"/>
            <family val="2"/>
          </rPr>
          <t>Rebecca:</t>
        </r>
        <r>
          <rPr>
            <sz val="9"/>
            <color indexed="81"/>
            <rFont val="Tahoma"/>
            <family val="2"/>
          </rPr>
          <t xml:space="preserve">
UG SA 1960, Table UR.2</t>
        </r>
      </text>
    </comment>
    <comment ref="AC159" authorId="0" shapeId="0">
      <text>
        <r>
          <rPr>
            <b/>
            <sz val="9"/>
            <color indexed="81"/>
            <rFont val="Tahoma"/>
            <family val="2"/>
          </rPr>
          <t>Rebecca:</t>
        </r>
        <r>
          <rPr>
            <sz val="9"/>
            <color indexed="81"/>
            <rFont val="Tahoma"/>
            <family val="2"/>
          </rPr>
          <t xml:space="preserve">
UG SA 1966, Table UR.2
Aided schools only!</t>
        </r>
      </text>
    </comment>
    <comment ref="AL159" authorId="1" shapeId="0">
      <text>
        <r>
          <rPr>
            <b/>
            <sz val="9"/>
            <color indexed="81"/>
            <rFont val="Tahoma"/>
            <family val="2"/>
          </rPr>
          <t>Administrator:</t>
        </r>
        <r>
          <rPr>
            <sz val="9"/>
            <color indexed="81"/>
            <rFont val="Tahoma"/>
            <family val="2"/>
          </rPr>
          <t xml:space="preserve">
UG ODAET 1990, Table 2.</t>
        </r>
      </text>
    </comment>
    <comment ref="AP159" authorId="1" shapeId="0">
      <text>
        <r>
          <rPr>
            <b/>
            <sz val="9"/>
            <color indexed="81"/>
            <rFont val="Tahoma"/>
            <family val="2"/>
          </rPr>
          <t>Administrator:</t>
        </r>
        <r>
          <rPr>
            <sz val="9"/>
            <color indexed="81"/>
            <rFont val="Tahoma"/>
            <family val="2"/>
          </rPr>
          <t xml:space="preserve">
UG WB PER 1985, Table A-5</t>
        </r>
      </text>
    </comment>
    <comment ref="AQ159" authorId="1" shapeId="0">
      <text>
        <r>
          <rPr>
            <b/>
            <sz val="9"/>
            <color indexed="81"/>
            <rFont val="Tahoma"/>
            <family val="2"/>
          </rPr>
          <t>Administrator:</t>
        </r>
        <r>
          <rPr>
            <sz val="9"/>
            <color indexed="81"/>
            <rFont val="Tahoma"/>
            <family val="2"/>
          </rPr>
          <t xml:space="preserve">
UG ODAET 1990, Table 2.</t>
        </r>
      </text>
    </comment>
    <comment ref="AR159" authorId="0" shapeId="0">
      <text>
        <r>
          <rPr>
            <b/>
            <sz val="9"/>
            <color indexed="81"/>
            <rFont val="Tahoma"/>
            <family val="2"/>
          </rPr>
          <t>Rebecca:</t>
        </r>
        <r>
          <rPr>
            <sz val="9"/>
            <color indexed="81"/>
            <rFont val="Tahoma"/>
            <family val="2"/>
          </rPr>
          <t xml:space="preserve">
UG UNESCO 1983, Annex 30</t>
        </r>
      </text>
    </comment>
    <comment ref="BE159" authorId="1" shapeId="0">
      <text>
        <r>
          <rPr>
            <b/>
            <sz val="9"/>
            <color indexed="81"/>
            <rFont val="Tahoma"/>
            <family val="2"/>
          </rPr>
          <t>Administrator:</t>
        </r>
        <r>
          <rPr>
            <sz val="9"/>
            <color indexed="81"/>
            <rFont val="Tahoma"/>
            <family val="2"/>
          </rPr>
          <t xml:space="preserve">
UG WB SSS PER 1993, Vol II, Statistical Annex E</t>
        </r>
      </text>
    </comment>
    <comment ref="BM159" authorId="1" shapeId="0">
      <text>
        <r>
          <rPr>
            <b/>
            <sz val="9"/>
            <color indexed="81"/>
            <rFont val="Tahoma"/>
            <family val="2"/>
          </rPr>
          <t>Administrator:</t>
        </r>
        <r>
          <rPr>
            <sz val="9"/>
            <color indexed="81"/>
            <rFont val="Tahoma"/>
            <family val="2"/>
          </rPr>
          <t xml:space="preserve">
UG SA 2002, Section 2.2.</t>
        </r>
      </text>
    </comment>
    <comment ref="BP159" authorId="0" shapeId="0">
      <text>
        <r>
          <rPr>
            <b/>
            <sz val="9"/>
            <color indexed="81"/>
            <rFont val="Tahoma"/>
            <family val="2"/>
          </rPr>
          <t>Rebecca:</t>
        </r>
        <r>
          <rPr>
            <sz val="9"/>
            <color indexed="81"/>
            <rFont val="Tahoma"/>
            <family val="2"/>
          </rPr>
          <t xml:space="preserve">
UG SA 2005, Table 2.2.H
</t>
        </r>
      </text>
    </comment>
    <comment ref="BU159" authorId="1" shapeId="0">
      <text>
        <r>
          <rPr>
            <b/>
            <sz val="9"/>
            <color indexed="81"/>
            <rFont val="Tahoma"/>
            <family val="2"/>
          </rPr>
          <t>Administrator:</t>
        </r>
        <r>
          <rPr>
            <sz val="9"/>
            <color indexed="81"/>
            <rFont val="Tahoma"/>
            <family val="2"/>
          </rPr>
          <t xml:space="preserve">
UG SA 2010, Table 2.2.E</t>
        </r>
      </text>
    </comment>
    <comment ref="BY159" authorId="1" shapeId="0">
      <text>
        <r>
          <rPr>
            <b/>
            <sz val="9"/>
            <color indexed="81"/>
            <rFont val="Tahoma"/>
            <family val="2"/>
          </rPr>
          <t>Administrator:</t>
        </r>
        <r>
          <rPr>
            <sz val="9"/>
            <color indexed="81"/>
            <rFont val="Tahoma"/>
            <family val="2"/>
          </rPr>
          <t xml:space="preserve">
UG SA 2014, Table 2.2H</t>
        </r>
      </text>
    </comment>
    <comment ref="AZ160" authorId="1" shapeId="0">
      <text>
        <r>
          <rPr>
            <b/>
            <sz val="9"/>
            <color indexed="81"/>
            <rFont val="Tahoma"/>
            <family val="2"/>
          </rPr>
          <t>Administrator:</t>
        </r>
        <r>
          <rPr>
            <sz val="9"/>
            <color indexed="81"/>
            <rFont val="Tahoma"/>
            <family val="2"/>
          </rPr>
          <t xml:space="preserve">
UG ODAET 1990, Table 2.</t>
        </r>
      </text>
    </comment>
    <comment ref="AH161" authorId="0" shapeId="0">
      <text>
        <r>
          <rPr>
            <b/>
            <sz val="9"/>
            <color indexed="81"/>
            <rFont val="Tahoma"/>
            <family val="2"/>
          </rPr>
          <t>Rebecca:</t>
        </r>
        <r>
          <rPr>
            <sz val="9"/>
            <color indexed="81"/>
            <rFont val="Tahoma"/>
            <family val="2"/>
          </rPr>
          <t xml:space="preserve">
UG SA 1970, Table UR.2</t>
        </r>
      </text>
    </comment>
    <comment ref="BP169" authorId="1" shapeId="0">
      <text>
        <r>
          <rPr>
            <b/>
            <sz val="9"/>
            <color indexed="81"/>
            <rFont val="Tahoma"/>
            <family val="2"/>
          </rPr>
          <t>Administrator:</t>
        </r>
        <r>
          <rPr>
            <sz val="9"/>
            <color indexed="81"/>
            <rFont val="Tahoma"/>
            <family val="2"/>
          </rPr>
          <t xml:space="preserve">
UG EDU 2000 - 2012</t>
        </r>
      </text>
    </comment>
    <comment ref="BR169" authorId="1" shapeId="0">
      <text>
        <r>
          <rPr>
            <b/>
            <sz val="9"/>
            <color indexed="81"/>
            <rFont val="Tahoma"/>
            <family val="2"/>
          </rPr>
          <t>Administrator:</t>
        </r>
        <r>
          <rPr>
            <sz val="9"/>
            <color indexed="81"/>
            <rFont val="Tahoma"/>
            <family val="2"/>
          </rPr>
          <t xml:space="preserve">
UG EDU 2002 - 2013</t>
        </r>
      </text>
    </comment>
    <comment ref="W170" authorId="0" shapeId="0">
      <text>
        <r>
          <rPr>
            <b/>
            <sz val="9"/>
            <color indexed="81"/>
            <rFont val="Tahoma"/>
            <family val="2"/>
          </rPr>
          <t>Rebecca:</t>
        </r>
        <r>
          <rPr>
            <sz val="9"/>
            <color indexed="81"/>
            <rFont val="Tahoma"/>
            <family val="2"/>
          </rPr>
          <t xml:space="preserve">
UG SA 1960, Table UR.2
</t>
        </r>
      </text>
    </comment>
    <comment ref="AB170" authorId="0" shapeId="0">
      <text>
        <r>
          <rPr>
            <b/>
            <sz val="9"/>
            <color indexed="81"/>
            <rFont val="Tahoma"/>
            <family val="2"/>
          </rPr>
          <t>Rebecca:</t>
        </r>
        <r>
          <rPr>
            <sz val="9"/>
            <color indexed="81"/>
            <rFont val="Tahoma"/>
            <family val="2"/>
          </rPr>
          <t xml:space="preserve">
UG SA 1960, Table UR.2</t>
        </r>
      </text>
    </comment>
    <comment ref="AC170" authorId="0" shapeId="0">
      <text>
        <r>
          <rPr>
            <b/>
            <sz val="9"/>
            <color indexed="81"/>
            <rFont val="Tahoma"/>
            <family val="2"/>
          </rPr>
          <t>Rebecca:</t>
        </r>
        <r>
          <rPr>
            <sz val="9"/>
            <color indexed="81"/>
            <rFont val="Tahoma"/>
            <family val="2"/>
          </rPr>
          <t xml:space="preserve">
UG SA 1966, Table UR.2
Aided schools only!</t>
        </r>
      </text>
    </comment>
    <comment ref="AG170" authorId="1" shapeId="0">
      <text>
        <r>
          <rPr>
            <b/>
            <sz val="9"/>
            <color indexed="81"/>
            <rFont val="Tahoma"/>
            <family val="2"/>
          </rPr>
          <t>Administrator:</t>
        </r>
        <r>
          <rPr>
            <sz val="9"/>
            <color indexed="81"/>
            <rFont val="Tahoma"/>
            <family val="2"/>
          </rPr>
          <t xml:space="preserve">
UG ODAET 1990, Table 2.</t>
        </r>
      </text>
    </comment>
    <comment ref="AH170" authorId="0" shapeId="0">
      <text>
        <r>
          <rPr>
            <b/>
            <sz val="9"/>
            <color indexed="81"/>
            <rFont val="Tahoma"/>
            <family val="2"/>
          </rPr>
          <t>Rebecca:</t>
        </r>
        <r>
          <rPr>
            <sz val="9"/>
            <color indexed="81"/>
            <rFont val="Tahoma"/>
            <family val="2"/>
          </rPr>
          <t xml:space="preserve">
UG SA 1970, Table UR.2</t>
        </r>
      </text>
    </comment>
    <comment ref="AL170" authorId="1" shapeId="0">
      <text>
        <r>
          <rPr>
            <b/>
            <sz val="9"/>
            <color indexed="81"/>
            <rFont val="Tahoma"/>
            <family val="2"/>
          </rPr>
          <t>Administrator:</t>
        </r>
        <r>
          <rPr>
            <sz val="9"/>
            <color indexed="81"/>
            <rFont val="Tahoma"/>
            <family val="2"/>
          </rPr>
          <t xml:space="preserve">
UG ODAET 1990, Table 2.</t>
        </r>
      </text>
    </comment>
    <comment ref="AQ170" authorId="1" shapeId="0">
      <text>
        <r>
          <rPr>
            <b/>
            <sz val="9"/>
            <color indexed="81"/>
            <rFont val="Tahoma"/>
            <family val="2"/>
          </rPr>
          <t>Administrator:</t>
        </r>
        <r>
          <rPr>
            <sz val="9"/>
            <color indexed="81"/>
            <rFont val="Tahoma"/>
            <family val="2"/>
          </rPr>
          <t xml:space="preserve">
UG ODAET 1990, Table 2.</t>
        </r>
      </text>
    </comment>
    <comment ref="AU170" authorId="1" shapeId="0">
      <text>
        <r>
          <rPr>
            <b/>
            <sz val="9"/>
            <color indexed="81"/>
            <rFont val="Tahoma"/>
            <family val="2"/>
          </rPr>
          <t>Administrator:</t>
        </r>
        <r>
          <rPr>
            <sz val="9"/>
            <color indexed="81"/>
            <rFont val="Tahoma"/>
            <family val="2"/>
          </rPr>
          <t xml:space="preserve">
UG UNESCO 1983</t>
        </r>
      </text>
    </comment>
    <comment ref="AV170" authorId="1" shapeId="0">
      <text>
        <r>
          <rPr>
            <b/>
            <sz val="9"/>
            <color indexed="81"/>
            <rFont val="Tahoma"/>
            <family val="2"/>
          </rPr>
          <t>Administrator:</t>
        </r>
        <r>
          <rPr>
            <sz val="9"/>
            <color indexed="81"/>
            <rFont val="Tahoma"/>
            <family val="2"/>
          </rPr>
          <t xml:space="preserve">
UG ODAET 1990, Table 2.</t>
        </r>
      </text>
    </comment>
    <comment ref="BM170" authorId="1" shapeId="0">
      <text>
        <r>
          <rPr>
            <b/>
            <sz val="9"/>
            <color indexed="81"/>
            <rFont val="Tahoma"/>
            <family val="2"/>
          </rPr>
          <t>Administrator:</t>
        </r>
        <r>
          <rPr>
            <sz val="9"/>
            <color indexed="81"/>
            <rFont val="Tahoma"/>
            <family val="2"/>
          </rPr>
          <t xml:space="preserve">
UG SA 2002, Section 2.2A
This teacher training category includes in-service training. The more formal teacher colleges grouped under 'colleges'...</t>
        </r>
      </text>
    </comment>
    <comment ref="BP170" authorId="0" shapeId="0">
      <text>
        <r>
          <rPr>
            <b/>
            <sz val="9"/>
            <color indexed="81"/>
            <rFont val="Tahoma"/>
            <family val="2"/>
          </rPr>
          <t>Rebecca:</t>
        </r>
        <r>
          <rPr>
            <sz val="9"/>
            <color indexed="81"/>
            <rFont val="Tahoma"/>
            <family val="2"/>
          </rPr>
          <t xml:space="preserve">
UG SA 2005, Table 2.2.H
</t>
        </r>
      </text>
    </comment>
    <comment ref="BR170" authorId="1" shapeId="0">
      <text>
        <r>
          <rPr>
            <b/>
            <sz val="9"/>
            <color indexed="81"/>
            <rFont val="Tahoma"/>
            <family val="2"/>
          </rPr>
          <t>Administrator:</t>
        </r>
        <r>
          <rPr>
            <sz val="9"/>
            <color indexed="81"/>
            <rFont val="Tahoma"/>
            <family val="2"/>
          </rPr>
          <t xml:space="preserve">
UG SA 2005, Table 2.2.O</t>
        </r>
      </text>
    </comment>
    <comment ref="BV170" authorId="1" shapeId="0">
      <text>
        <r>
          <rPr>
            <b/>
            <sz val="9"/>
            <color indexed="81"/>
            <rFont val="Tahoma"/>
            <family val="2"/>
          </rPr>
          <t>Administrator:</t>
        </r>
        <r>
          <rPr>
            <sz val="9"/>
            <color indexed="81"/>
            <rFont val="Tahoma"/>
            <family val="2"/>
          </rPr>
          <t xml:space="preserve">
UG SA 2010, Table 2.2.J</t>
        </r>
      </text>
    </comment>
    <comment ref="CA170" authorId="1" shapeId="0">
      <text>
        <r>
          <rPr>
            <b/>
            <sz val="9"/>
            <color indexed="81"/>
            <rFont val="Tahoma"/>
            <family val="2"/>
          </rPr>
          <t>Administrator:</t>
        </r>
        <r>
          <rPr>
            <sz val="9"/>
            <color indexed="81"/>
            <rFont val="Tahoma"/>
            <family val="2"/>
          </rPr>
          <t xml:space="preserve">
UG SA 2013, Table 2.2.H</t>
        </r>
      </text>
    </comment>
    <comment ref="CB170" authorId="1" shapeId="0">
      <text>
        <r>
          <rPr>
            <b/>
            <sz val="9"/>
            <color indexed="81"/>
            <rFont val="Tahoma"/>
            <family val="2"/>
          </rPr>
          <t>Administrator:</t>
        </r>
        <r>
          <rPr>
            <sz val="9"/>
            <color indexed="81"/>
            <rFont val="Tahoma"/>
            <family val="2"/>
          </rPr>
          <t xml:space="preserve">
UG SA 2015</t>
        </r>
      </text>
    </comment>
    <comment ref="AV171" authorId="1" shapeId="0">
      <text>
        <r>
          <rPr>
            <b/>
            <sz val="9"/>
            <color indexed="81"/>
            <rFont val="Tahoma"/>
            <family val="2"/>
          </rPr>
          <t>Administrator:</t>
        </r>
        <r>
          <rPr>
            <sz val="9"/>
            <color indexed="81"/>
            <rFont val="Tahoma"/>
            <family val="2"/>
          </rPr>
          <t xml:space="preserve">
UG ODAET 1990, Table 2.</t>
        </r>
      </text>
    </comment>
    <comment ref="W172" authorId="0" shapeId="0">
      <text>
        <r>
          <rPr>
            <b/>
            <sz val="9"/>
            <color indexed="81"/>
            <rFont val="Tahoma"/>
            <family val="2"/>
          </rPr>
          <t>Rebecca:</t>
        </r>
        <r>
          <rPr>
            <sz val="9"/>
            <color indexed="81"/>
            <rFont val="Tahoma"/>
            <family val="2"/>
          </rPr>
          <t xml:space="preserve">
UG SA 1960, Table UR.2
</t>
        </r>
      </text>
    </comment>
    <comment ref="AB172" authorId="0" shapeId="0">
      <text>
        <r>
          <rPr>
            <b/>
            <sz val="9"/>
            <color indexed="81"/>
            <rFont val="Tahoma"/>
            <family val="2"/>
          </rPr>
          <t>Rebecca:</t>
        </r>
        <r>
          <rPr>
            <sz val="9"/>
            <color indexed="81"/>
            <rFont val="Tahoma"/>
            <family val="2"/>
          </rPr>
          <t xml:space="preserve">
UG SA 1960, Table UR.2</t>
        </r>
      </text>
    </comment>
    <comment ref="AC172" authorId="0" shapeId="0">
      <text>
        <r>
          <rPr>
            <b/>
            <sz val="9"/>
            <color indexed="81"/>
            <rFont val="Tahoma"/>
            <family val="2"/>
          </rPr>
          <t>Rebecca:</t>
        </r>
        <r>
          <rPr>
            <sz val="9"/>
            <color indexed="81"/>
            <rFont val="Tahoma"/>
            <family val="2"/>
          </rPr>
          <t xml:space="preserve">
UG SA 1966, Table UR.2
Aided schools only!</t>
        </r>
      </text>
    </comment>
    <comment ref="AH172" authorId="0" shapeId="0">
      <text>
        <r>
          <rPr>
            <b/>
            <sz val="9"/>
            <color indexed="81"/>
            <rFont val="Tahoma"/>
            <family val="2"/>
          </rPr>
          <t>Rebecca:</t>
        </r>
        <r>
          <rPr>
            <sz val="9"/>
            <color indexed="81"/>
            <rFont val="Tahoma"/>
            <family val="2"/>
          </rPr>
          <t xml:space="preserve">
UG SA 1970, Table UR.2</t>
        </r>
      </text>
    </comment>
    <comment ref="AU172" authorId="1" shapeId="0">
      <text>
        <r>
          <rPr>
            <b/>
            <sz val="9"/>
            <color indexed="81"/>
            <rFont val="Tahoma"/>
            <family val="2"/>
          </rPr>
          <t>Administrator:</t>
        </r>
        <r>
          <rPr>
            <sz val="9"/>
            <color indexed="81"/>
            <rFont val="Tahoma"/>
            <family val="2"/>
          </rPr>
          <t xml:space="preserve">
UG UNESCO 1983, Annex 44</t>
        </r>
      </text>
    </comment>
    <comment ref="CB172" authorId="1" shapeId="0">
      <text>
        <r>
          <rPr>
            <b/>
            <sz val="9"/>
            <color indexed="81"/>
            <rFont val="Tahoma"/>
            <family val="2"/>
          </rPr>
          <t>Administrator:</t>
        </r>
        <r>
          <rPr>
            <sz val="9"/>
            <color indexed="81"/>
            <rFont val="Tahoma"/>
            <family val="2"/>
          </rPr>
          <t xml:space="preserve">
UG SA 2015</t>
        </r>
      </text>
    </comment>
    <comment ref="AH173" authorId="0" shapeId="0">
      <text>
        <r>
          <rPr>
            <b/>
            <sz val="9"/>
            <color indexed="81"/>
            <rFont val="Tahoma"/>
            <family val="2"/>
          </rPr>
          <t>Rebecca:</t>
        </r>
        <r>
          <rPr>
            <sz val="9"/>
            <color indexed="81"/>
            <rFont val="Tahoma"/>
            <family val="2"/>
          </rPr>
          <t xml:space="preserve">
UG SA 1970, Table UR.2</t>
        </r>
      </text>
    </comment>
    <comment ref="AV173" authorId="1" shapeId="0">
      <text>
        <r>
          <rPr>
            <b/>
            <sz val="9"/>
            <color indexed="81"/>
            <rFont val="Tahoma"/>
            <family val="2"/>
          </rPr>
          <t>Administrator:</t>
        </r>
        <r>
          <rPr>
            <sz val="9"/>
            <color indexed="81"/>
            <rFont val="Tahoma"/>
            <family val="2"/>
          </rPr>
          <t xml:space="preserve">
UG ODAET 1990, Table 2.
Makerere only</t>
        </r>
      </text>
    </comment>
    <comment ref="AZ173" authorId="1" shapeId="0">
      <text>
        <r>
          <rPr>
            <b/>
            <sz val="9"/>
            <color indexed="81"/>
            <rFont val="Tahoma"/>
            <family val="2"/>
          </rPr>
          <t>Administrator:</t>
        </r>
        <r>
          <rPr>
            <sz val="9"/>
            <color indexed="81"/>
            <rFont val="Tahoma"/>
            <family val="2"/>
          </rPr>
          <t xml:space="preserve">
UG ODAET 1990, Table 2.
Makerere only</t>
        </r>
      </text>
    </comment>
    <comment ref="BP173" authorId="1" shapeId="0">
      <text>
        <r>
          <rPr>
            <b/>
            <sz val="9"/>
            <color indexed="81"/>
            <rFont val="Tahoma"/>
            <family val="2"/>
          </rPr>
          <t>Administrator:</t>
        </r>
        <r>
          <rPr>
            <sz val="9"/>
            <color indexed="81"/>
            <rFont val="Tahoma"/>
            <family val="2"/>
          </rPr>
          <t xml:space="preserve">
UG EDU 2000 - 2012</t>
        </r>
      </text>
    </comment>
    <comment ref="BR173" authorId="1" shapeId="0">
      <text>
        <r>
          <rPr>
            <b/>
            <sz val="9"/>
            <color indexed="81"/>
            <rFont val="Tahoma"/>
            <family val="2"/>
          </rPr>
          <t>Administrator:</t>
        </r>
        <r>
          <rPr>
            <sz val="9"/>
            <color indexed="81"/>
            <rFont val="Tahoma"/>
            <family val="2"/>
          </rPr>
          <t xml:space="preserve">
UG EDU 2002 - 2013</t>
        </r>
      </text>
    </comment>
    <comment ref="AU175" authorId="1" shapeId="0">
      <text>
        <r>
          <rPr>
            <b/>
            <sz val="9"/>
            <color indexed="81"/>
            <rFont val="Tahoma"/>
            <family val="2"/>
          </rPr>
          <t>Administrator:</t>
        </r>
        <r>
          <rPr>
            <sz val="9"/>
            <color indexed="81"/>
            <rFont val="Tahoma"/>
            <family val="2"/>
          </rPr>
          <t xml:space="preserve">
UG UNESCO 1983, Annex 46</t>
        </r>
      </text>
    </comment>
    <comment ref="AZ175" authorId="1" shapeId="0">
      <text>
        <r>
          <rPr>
            <b/>
            <sz val="9"/>
            <color indexed="81"/>
            <rFont val="Tahoma"/>
            <family val="2"/>
          </rPr>
          <t>Administrator:</t>
        </r>
        <r>
          <rPr>
            <sz val="9"/>
            <color indexed="81"/>
            <rFont val="Tahoma"/>
            <family val="2"/>
          </rPr>
          <t xml:space="preserve">
UG ODAET 1990, Table 2
(Uganda technical college and Uganda college of commerce)</t>
        </r>
      </text>
    </comment>
    <comment ref="BM175" authorId="1" shapeId="0">
      <text>
        <r>
          <rPr>
            <b/>
            <sz val="9"/>
            <color indexed="81"/>
            <rFont val="Tahoma"/>
            <family val="2"/>
          </rPr>
          <t>Administrator:</t>
        </r>
        <r>
          <rPr>
            <sz val="9"/>
            <color indexed="81"/>
            <rFont val="Tahoma"/>
            <family val="2"/>
          </rPr>
          <t xml:space="preserve">
Natl teacher colleges, Uganda technical colleges, uganda commerical colleges, other higher institutions.</t>
        </r>
      </text>
    </comment>
    <comment ref="BP175" authorId="0" shapeId="0">
      <text>
        <r>
          <rPr>
            <b/>
            <sz val="9"/>
            <color indexed="81"/>
            <rFont val="Tahoma"/>
            <family val="2"/>
          </rPr>
          <t>Rebecca:</t>
        </r>
        <r>
          <rPr>
            <sz val="9"/>
            <color indexed="81"/>
            <rFont val="Tahoma"/>
            <family val="2"/>
          </rPr>
          <t xml:space="preserve">
UG SA 2005, Table 2.2.H
</t>
        </r>
      </text>
    </comment>
    <comment ref="BR175" authorId="1" shapeId="0">
      <text>
        <r>
          <rPr>
            <b/>
            <sz val="9"/>
            <color indexed="81"/>
            <rFont val="Tahoma"/>
            <family val="2"/>
          </rPr>
          <t>Administrator:</t>
        </r>
        <r>
          <rPr>
            <sz val="9"/>
            <color indexed="81"/>
            <rFont val="Tahoma"/>
            <family val="2"/>
          </rPr>
          <t xml:space="preserve">
UG SA 2005, Table 2.2.O</t>
        </r>
      </text>
    </comment>
    <comment ref="BV175" authorId="1" shapeId="0">
      <text>
        <r>
          <rPr>
            <b/>
            <sz val="9"/>
            <color indexed="81"/>
            <rFont val="Tahoma"/>
            <family val="2"/>
          </rPr>
          <t>Administrator:</t>
        </r>
        <r>
          <rPr>
            <sz val="9"/>
            <color indexed="81"/>
            <rFont val="Tahoma"/>
            <family val="2"/>
          </rPr>
          <t xml:space="preserve">
UG SA 2010, Table 2.2.J</t>
        </r>
      </text>
    </comment>
    <comment ref="CB175" authorId="1" shapeId="0">
      <text>
        <r>
          <rPr>
            <b/>
            <sz val="9"/>
            <color indexed="81"/>
            <rFont val="Tahoma"/>
            <family val="2"/>
          </rPr>
          <t>Administrator:</t>
        </r>
        <r>
          <rPr>
            <sz val="9"/>
            <color indexed="81"/>
            <rFont val="Tahoma"/>
            <family val="2"/>
          </rPr>
          <t xml:space="preserve">
UG SA 2015</t>
        </r>
      </text>
    </comment>
  </commentList>
</comments>
</file>

<file path=xl/sharedStrings.xml><?xml version="1.0" encoding="utf-8"?>
<sst xmlns="http://schemas.openxmlformats.org/spreadsheetml/2006/main" count="816" uniqueCount="429">
  <si>
    <t>1954/55</t>
  </si>
  <si>
    <t>1955/56</t>
  </si>
  <si>
    <t>1956/57</t>
  </si>
  <si>
    <t>1957/58</t>
  </si>
  <si>
    <t>1958/59</t>
  </si>
  <si>
    <t>1959/60</t>
  </si>
  <si>
    <t>1960/61</t>
  </si>
  <si>
    <t>1961/62</t>
  </si>
  <si>
    <t>1962/63</t>
  </si>
  <si>
    <t>1963/64</t>
  </si>
  <si>
    <t>1964/65</t>
  </si>
  <si>
    <t>1965/66</t>
  </si>
  <si>
    <t>1966/67</t>
  </si>
  <si>
    <t>1967/68</t>
  </si>
  <si>
    <t>1968/69</t>
  </si>
  <si>
    <t>1969/70</t>
  </si>
  <si>
    <t>1970/71</t>
  </si>
  <si>
    <t>1971/72</t>
  </si>
  <si>
    <t>1972/73</t>
  </si>
  <si>
    <t>1973/74</t>
  </si>
  <si>
    <t>1974/75</t>
  </si>
  <si>
    <t>1975/76</t>
  </si>
  <si>
    <t>1976/77</t>
  </si>
  <si>
    <t>1977/78</t>
  </si>
  <si>
    <t>1978/79</t>
  </si>
  <si>
    <t>1979/80</t>
  </si>
  <si>
    <t>1980/81</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</si>
  <si>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</si>
  <si>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</si>
  <si>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</si>
  <si>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</si>
  <si>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</si>
  <si>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</si>
  <si>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</si>
  <si>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</si>
  <si>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</si>
  <si>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</si>
  <si>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</si>
  <si>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</si>
  <si>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</si>
  <si>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</si>
  <si>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</si>
  <si>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</si>
  <si>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</si>
  <si>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</si>
  <si>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</si>
  <si>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</si>
  <si>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</si>
  <si>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</si>
  <si>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</si>
  <si>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</si>
  <si>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</si>
  <si>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</si>
  <si>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</si>
  <si>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</si>
  <si>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</si>
  <si>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</si>
  <si>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</si>
  <si>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</si>
  <si>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Unit</t>
  </si>
  <si>
    <t>Sources and assumptions</t>
  </si>
  <si>
    <t>Series</t>
  </si>
  <si>
    <t>Calendar year</t>
  </si>
  <si>
    <t>Population</t>
  </si>
  <si>
    <t>Frankema and Jerven &lt;1960, WDI from 1960</t>
  </si>
  <si>
    <t>KE CENSUS 1969 - 2009</t>
  </si>
  <si>
    <t>Population, census estimates</t>
  </si>
  <si>
    <t>WDI from 1960, assumed at 1960 value for pre-1960 period</t>
  </si>
  <si>
    <t>Population aged 15-64, % of pop</t>
  </si>
  <si>
    <t>Thousands ('000)</t>
  </si>
  <si>
    <t>Wage employment, total</t>
  </si>
  <si>
    <t>Wage employment, private</t>
  </si>
  <si>
    <t>Wage empl, private African</t>
  </si>
  <si>
    <t>Wage empl, private non-African</t>
  </si>
  <si>
    <t>Wage empl, private non-citizen</t>
  </si>
  <si>
    <t>Wage employment, public</t>
  </si>
  <si>
    <t>Wage empl, public African</t>
  </si>
  <si>
    <t>Wage empl, public non-African</t>
  </si>
  <si>
    <t>Wage empl, public non-citizen</t>
  </si>
  <si>
    <t>Public sector employment, total</t>
  </si>
  <si>
    <t>General government</t>
  </si>
  <si>
    <t>Central government</t>
  </si>
  <si>
    <t>Local government</t>
  </si>
  <si>
    <t>Teachers service commission</t>
  </si>
  <si>
    <t>Parastatals</t>
  </si>
  <si>
    <t>Majority controlled by public sector</t>
  </si>
  <si>
    <t>IISS MB vol. 71-112</t>
  </si>
  <si>
    <t>Total armed forces (army, navy and airforce, excl. paramilitary)</t>
  </si>
  <si>
    <t>Survey data (alternative source)</t>
  </si>
  <si>
    <t>Wage empl, total, earnings, total</t>
  </si>
  <si>
    <t>Wage empl, private, earnings, total</t>
  </si>
  <si>
    <t>Wage empl, private, earnings, African</t>
  </si>
  <si>
    <t>Wage empl, private, earnings, non-African</t>
  </si>
  <si>
    <t>Wage empl, public, earnings</t>
  </si>
  <si>
    <t>Wage empl, public earnings, African</t>
  </si>
  <si>
    <t>Wage empl, public earnings, non-African</t>
  </si>
  <si>
    <t>Public sector wage bill (reclassified into consistent categories)</t>
  </si>
  <si>
    <t>Consumer prices</t>
  </si>
  <si>
    <t>Index</t>
  </si>
  <si>
    <t>Pre 1960, see comments; Post 1960: WDI</t>
  </si>
  <si>
    <t>CPI index (1960 = 100) (spliced)</t>
  </si>
  <si>
    <t>CPI index (2010 = 100) (spliced)</t>
  </si>
  <si>
    <t>LCU per US$, period average</t>
  </si>
  <si>
    <t>WDI</t>
  </si>
  <si>
    <t>Official exchange rate (LCU per US$, period average)</t>
  </si>
  <si>
    <t>Average earnings in public services</t>
  </si>
  <si>
    <t>Average earnings in private industry and commerce</t>
  </si>
  <si>
    <t>Average earnings in agriculture</t>
  </si>
  <si>
    <t>Shillings/month</t>
  </si>
  <si>
    <t>Average monthly cash wage for adult male African employees - clerical staff</t>
  </si>
  <si>
    <t>Consumer price index (2010 = 100) USA</t>
  </si>
  <si>
    <t>Fiscal year (post-1954)</t>
  </si>
  <si>
    <t>Public finance</t>
  </si>
  <si>
    <t>KSh. millions</t>
  </si>
  <si>
    <t>Revenue, total</t>
  </si>
  <si>
    <t>KE SA and IMF sources, see comments for shift in source.</t>
  </si>
  <si>
    <t>Revenue, central govt (excl. grants)</t>
  </si>
  <si>
    <t>Revenue, local governments (excl. all transfers and grants)</t>
  </si>
  <si>
    <t>Expenditure and net lending, central govt</t>
  </si>
  <si>
    <t>KE SA</t>
  </si>
  <si>
    <t>Current expenditure</t>
  </si>
  <si>
    <t>Capital expenditure</t>
  </si>
  <si>
    <t>Wages and salaries</t>
  </si>
  <si>
    <t>Current transfers</t>
  </si>
  <si>
    <t>Other goods and services</t>
  </si>
  <si>
    <t>Govt subsidies and interest</t>
  </si>
  <si>
    <t>Capital expenditure/ fixed investment</t>
  </si>
  <si>
    <t>Central govt total debt redemption or cap transfers to funds</t>
  </si>
  <si>
    <t>Defence expenditure (recurrent and development)</t>
  </si>
  <si>
    <t>Education expenditure (recurrent and development)</t>
  </si>
  <si>
    <t>Economic classification of expenditure - reclassification</t>
  </si>
  <si>
    <t>Total general government expenditure</t>
  </si>
  <si>
    <t>From public sector wage bill (general govt)</t>
  </si>
  <si>
    <t>Personnel</t>
  </si>
  <si>
    <t>Residual</t>
  </si>
  <si>
    <t>Goods, services and transfers</t>
  </si>
  <si>
    <t>Subsidies and interest</t>
  </si>
  <si>
    <t>Defence</t>
  </si>
  <si>
    <t>Development (incl. net lending)</t>
  </si>
  <si>
    <t>Revenue, central govt, excl. grants</t>
  </si>
  <si>
    <t>Education</t>
  </si>
  <si>
    <t>Defense</t>
  </si>
  <si>
    <t>GDP</t>
  </si>
  <si>
    <t>KSh. Millions</t>
  </si>
  <si>
    <t>WDI, 2016</t>
  </si>
  <si>
    <t>GDP (current)</t>
  </si>
  <si>
    <t>GDP, factor cost, "old series"</t>
  </si>
  <si>
    <t>GDP, market prices, "old series"</t>
  </si>
  <si>
    <t>Household final consumption expenditure, etc. (% of GDP)</t>
  </si>
  <si>
    <t>Household final consumption expenditure</t>
  </si>
  <si>
    <t>% of GDP</t>
  </si>
  <si>
    <t>WB WDI</t>
  </si>
  <si>
    <t>Agriculture, value added (% of GDP)</t>
  </si>
  <si>
    <t>Bigsten, 1987, income distribution and growth in a dual economy: kenya 1914-76, table VI.4.1; census 1989 and 2009</t>
  </si>
  <si>
    <t>Employees in agriculture</t>
  </si>
  <si>
    <t>KSh.</t>
  </si>
  <si>
    <t>Agriculture, value added by worker</t>
  </si>
  <si>
    <t>Standard 7</t>
  </si>
  <si>
    <t>Standard 8</t>
  </si>
  <si>
    <t>Secondary enrolment</t>
  </si>
  <si>
    <t>Form I</t>
  </si>
  <si>
    <t>Form II</t>
  </si>
  <si>
    <t>Form III</t>
  </si>
  <si>
    <t>Form IV</t>
  </si>
  <si>
    <t>Form V</t>
  </si>
  <si>
    <t>Form VI</t>
  </si>
  <si>
    <t>1st year</t>
  </si>
  <si>
    <t>2nd year / final year</t>
  </si>
  <si>
    <t>Kenya polytechnic</t>
  </si>
  <si>
    <t>Kenyatta University college</t>
  </si>
  <si>
    <t>Mombasa polytechnic</t>
  </si>
  <si>
    <t>Eldoret polytechnic</t>
  </si>
  <si>
    <t>University enrollment, public (incl. diplomas) (Nairobi, Moi, Kenyatta, Egerton and Jomo Kenyatta university colleges)</t>
  </si>
  <si>
    <t>o/w postgraduate</t>
  </si>
  <si>
    <t>University enrollment, private</t>
  </si>
  <si>
    <t>Industrial action</t>
  </si>
  <si>
    <t>Number of workers involved in industrial disputes</t>
  </si>
  <si>
    <t>2013/14</t>
  </si>
  <si>
    <t>Population (Tanzania)</t>
  </si>
  <si>
    <t>Pre-1961: Frankema and Jerven; 1961 - 1987: interpolation between census benchmarks; 1988 - present: estimated at 97.2% of WDI population estimate for Tanzania (incl. Zanzibar).</t>
  </si>
  <si>
    <t xml:space="preserve">Population (Tagnanyika/Mainland) </t>
  </si>
  <si>
    <t>Zanzibar</t>
  </si>
  <si>
    <t>Mainland share</t>
  </si>
  <si>
    <t>Population ages 15-64 (% of total)</t>
  </si>
  <si>
    <t>Mainland only</t>
  </si>
  <si>
    <t>Employment</t>
  </si>
  <si>
    <t>EES SERIES</t>
  </si>
  <si>
    <t>Thousands</t>
  </si>
  <si>
    <t>Wage empl, private African / citizens</t>
  </si>
  <si>
    <t>Wage empl, private non-African / non-citizen</t>
  </si>
  <si>
    <t>Wage employment, public, incl. parastatals</t>
  </si>
  <si>
    <t>Wage employment, public, excl. parastatals</t>
  </si>
  <si>
    <t>Wage empl, public African / citizen</t>
  </si>
  <si>
    <t>Wage empl, public non-African / non-citizen</t>
  </si>
  <si>
    <t>Wage empl, public African / citizen, adult males</t>
  </si>
  <si>
    <t>EES - PUBLIC SECTOR DETAILED</t>
  </si>
  <si>
    <t>Public sector</t>
  </si>
  <si>
    <t>Regional government</t>
  </si>
  <si>
    <t>Parastatal employment</t>
  </si>
  <si>
    <t>Domestic' parastatals</t>
  </si>
  <si>
    <t>Marketing cooperatives</t>
  </si>
  <si>
    <t>Non-profit making institutions</t>
  </si>
  <si>
    <t>EA parastatals</t>
  </si>
  <si>
    <t>EA posts and tel. admin</t>
  </si>
  <si>
    <t>EAR and H administration</t>
  </si>
  <si>
    <t>Other EASCO services</t>
  </si>
  <si>
    <t>OTHER SOURCES OF PUBLIC EMPLOYMENT DATA</t>
  </si>
  <si>
    <t>CSD data, as reported by Lukumai, also in the WB 1994 report, role of govt, and in 2004 report on pay reform</t>
  </si>
  <si>
    <t>Total civil service (various WB sources)</t>
  </si>
  <si>
    <t>TZ WB PER 1989, Vol. III, Table C.2. (Original source: establishment directorate, MLMD., fiscal year basis)</t>
  </si>
  <si>
    <t>Personnel in post, total (establishments - pressumably excl. Casuals, excl. armed forces)</t>
  </si>
  <si>
    <t>Personnel in post, CG (establishments - pressumably excl. Casuals)</t>
  </si>
  <si>
    <t>Personnel in post, regions (establishments - pressumably excl. Casuals)</t>
  </si>
  <si>
    <t>TZ WB PER 1989, Vol. III,  Table C.1. (Original source: Annual manpower reports (MLMD), calendar year)</t>
  </si>
  <si>
    <t>Ministres, independent depts, regions and LGs</t>
  </si>
  <si>
    <t>Ministries and independent departments</t>
  </si>
  <si>
    <t>Regions and local councils</t>
  </si>
  <si>
    <t>TZ WB PER 1989, Vol. III, Table C.1.</t>
  </si>
  <si>
    <t>Public administration and other services</t>
  </si>
  <si>
    <t>TZ IMF RED 1991, Annex III, Table V.</t>
  </si>
  <si>
    <t>Public employment - household surveys</t>
  </si>
  <si>
    <t>General govt - household surveys</t>
  </si>
  <si>
    <t>Parastatal - household surveys</t>
  </si>
  <si>
    <t>SPECIAL CADRES</t>
  </si>
  <si>
    <t>Teachers - public only</t>
  </si>
  <si>
    <t>Primary (public)</t>
  </si>
  <si>
    <t>Secondary (public)</t>
  </si>
  <si>
    <t xml:space="preserve">colleges </t>
  </si>
  <si>
    <t>Public employment - spliced/reclassification</t>
  </si>
  <si>
    <t>Public employment</t>
  </si>
  <si>
    <t>Public employment (total)</t>
  </si>
  <si>
    <t>General government (excl. teachers)</t>
  </si>
  <si>
    <t>Teachers</t>
  </si>
  <si>
    <t>Armed forces (data available from 1971)</t>
  </si>
  <si>
    <t>Government payroll</t>
  </si>
  <si>
    <t>In Shillings, million - data pre-1960 from labour department reports</t>
  </si>
  <si>
    <t>TSh. millions, annual</t>
  </si>
  <si>
    <t>Wage empl, total, earnings, (Shs. Millions, annual)</t>
  </si>
  <si>
    <t>Wage empl, private, earnings</t>
  </si>
  <si>
    <t>Wage empl, private, earnings, Africans/citizens</t>
  </si>
  <si>
    <t>Wage empl, private, earnings, non-African/non-citizens</t>
  </si>
  <si>
    <t>Wage empl, earnings, public (incl. parastatals)</t>
  </si>
  <si>
    <t>Wage empl, earnings, public (incl. EAC, excl. parastatals)</t>
  </si>
  <si>
    <t>Wage empl, earnings, public African / citizen</t>
  </si>
  <si>
    <t>Wage empl, earnings, public non-African / non-citizen</t>
  </si>
  <si>
    <t>Local governments</t>
  </si>
  <si>
    <t>Domestic parastatals</t>
  </si>
  <si>
    <t>marketing coops</t>
  </si>
  <si>
    <t>Non-profit institutions</t>
  </si>
  <si>
    <t>EES SERIES ON AVERAGE EARNINGS</t>
  </si>
  <si>
    <t>TSh., monthly</t>
  </si>
  <si>
    <t>TZ SSS 1993, Table 5.20</t>
  </si>
  <si>
    <t>Average monthly cash earnings in formal sector (all industries), adult male</t>
  </si>
  <si>
    <t>Average monthly cash earnings in service sector, adult male</t>
  </si>
  <si>
    <t>IMF RED</t>
  </si>
  <si>
    <t>Average monthly wage per person employed, service sector (all)</t>
  </si>
  <si>
    <t>Average monthly cash earnings in public services, adult male (African/citizen)</t>
  </si>
  <si>
    <t>OTHER SOURCES</t>
  </si>
  <si>
    <t>Wages and salaries (incl. allowances) (public finance accounts)</t>
  </si>
  <si>
    <t>TZ WB PER 1989</t>
  </si>
  <si>
    <t>Personnel emoluments, ministerial and regional supply, from budgets.</t>
  </si>
  <si>
    <t>Personnel emoluments, ministerial supply</t>
  </si>
  <si>
    <t>Personnel emoluments, regional supply</t>
  </si>
  <si>
    <t>LGs reinstated</t>
  </si>
  <si>
    <t>Revenue, excl grants, total</t>
  </si>
  <si>
    <t>TSh. millions</t>
  </si>
  <si>
    <t>IMF sources</t>
  </si>
  <si>
    <t>Grants</t>
  </si>
  <si>
    <t>IMF article IV</t>
  </si>
  <si>
    <t>Different fiscal year, follows calendar year in early period</t>
  </si>
  <si>
    <t>Dar es Salaam city council</t>
  </si>
  <si>
    <t>Town councils</t>
  </si>
  <si>
    <t xml:space="preserve">District councils </t>
  </si>
  <si>
    <t>Local government own revenue, % of CG revenue</t>
  </si>
  <si>
    <t>Recurrent exp, total</t>
  </si>
  <si>
    <t>Interest payments</t>
  </si>
  <si>
    <t>Other goods and services and transfers</t>
  </si>
  <si>
    <t>Capital exp / Development expenditure and net lending</t>
  </si>
  <si>
    <t>Other (bank recap etc.)</t>
  </si>
  <si>
    <t>Stats Abstract, 1970, 1973-79, from 1976/77 and on, WB PER 1989 vol 3</t>
  </si>
  <si>
    <t>Interest</t>
  </si>
  <si>
    <t>Derived from PENN, 9.0</t>
  </si>
  <si>
    <t>TSh. Millions</t>
  </si>
  <si>
    <t>GDP (current) (factor prices)</t>
  </si>
  <si>
    <t xml:space="preserve">GDP (current) 1966 series (market prices) </t>
  </si>
  <si>
    <t xml:space="preserve">GDP (current) 1976 series (market prices) </t>
  </si>
  <si>
    <t>GDP (current) (from 1988) (market prices)</t>
  </si>
  <si>
    <t>WDI and WB contemporary sources (see series above)</t>
  </si>
  <si>
    <t>GDP (current), spliced series</t>
  </si>
  <si>
    <t>Private consumption (current)</t>
  </si>
  <si>
    <t>Household/private consumption, spliced, adjusted series</t>
  </si>
  <si>
    <t>Jackson, 1979, 'The Disappearance of Strikes in Tanzania: Incomes Policy and Industrial Democracy', Table 1.</t>
  </si>
  <si>
    <t>Total primary enrolment 1-7</t>
  </si>
  <si>
    <t>Standard 1</t>
  </si>
  <si>
    <t>Secondary, total, public and private</t>
  </si>
  <si>
    <t>Secondary enrolment, public schools</t>
  </si>
  <si>
    <t>Secondary enrolment, private schools</t>
  </si>
  <si>
    <t>Teacher training (total enrollment)</t>
  </si>
  <si>
    <t>Teacher training first year</t>
  </si>
  <si>
    <t>Technical colleges  - total enrollment</t>
  </si>
  <si>
    <t>Undergraduates at Tanzanian universities (total enrollment)</t>
  </si>
  <si>
    <t>East African University - entrants</t>
  </si>
  <si>
    <t>East African University - graduates</t>
  </si>
  <si>
    <t>Overseas university - entrants</t>
  </si>
  <si>
    <t>Overseas university - graduates</t>
  </si>
  <si>
    <t>UG CENSUS 2014, Main report, p.8</t>
  </si>
  <si>
    <t>Population censuses</t>
  </si>
  <si>
    <t>Incl. parastatals other than EAC ones.</t>
  </si>
  <si>
    <t>Excl. parastatals other than EAC ones.</t>
  </si>
  <si>
    <t>UG SA 2002 - 2016</t>
  </si>
  <si>
    <t>General govt employment, total</t>
  </si>
  <si>
    <t>Central govt</t>
  </si>
  <si>
    <t>Traditional civil service</t>
  </si>
  <si>
    <t>teaching service</t>
  </si>
  <si>
    <t>police and prisons</t>
  </si>
  <si>
    <t>group employees</t>
  </si>
  <si>
    <t>other</t>
  </si>
  <si>
    <t>Universities</t>
  </si>
  <si>
    <t>Local govt</t>
  </si>
  <si>
    <t>established</t>
  </si>
  <si>
    <t>Survey data results</t>
  </si>
  <si>
    <t>Public employment, household survey estimates</t>
  </si>
  <si>
    <t>General govt</t>
  </si>
  <si>
    <t>Parastatal</t>
  </si>
  <si>
    <t>Teachers in govt and aided schools and colleges</t>
  </si>
  <si>
    <t>Public employment by industrial classification</t>
  </si>
  <si>
    <t>Total</t>
  </si>
  <si>
    <t>Total African</t>
  </si>
  <si>
    <t>Total non-African</t>
  </si>
  <si>
    <t>African, '000</t>
  </si>
  <si>
    <t>Agriculture</t>
  </si>
  <si>
    <t>Forestry and fisheries and hunting</t>
  </si>
  <si>
    <t>Mining and quarrying</t>
  </si>
  <si>
    <t>Misc. Manufacturing</t>
  </si>
  <si>
    <t>Construction</t>
  </si>
  <si>
    <t>Commerce</t>
  </si>
  <si>
    <t>Transport and communciations</t>
  </si>
  <si>
    <t>Government (admin and misc.)</t>
  </si>
  <si>
    <t>(African) local government</t>
  </si>
  <si>
    <t>Education and medical services</t>
  </si>
  <si>
    <t>Misc.</t>
  </si>
  <si>
    <t>Non-African '000</t>
  </si>
  <si>
    <t>construction</t>
  </si>
  <si>
    <t>Public employment - spliced/constructed</t>
  </si>
  <si>
    <t>"plausible path"</t>
  </si>
  <si>
    <t>General govt employment</t>
  </si>
  <si>
    <t>o/w teachers</t>
  </si>
  <si>
    <t>Armed forces</t>
  </si>
  <si>
    <t>Earnings</t>
  </si>
  <si>
    <t>Ush. Millions</t>
  </si>
  <si>
    <t>Wage empl, total earnings</t>
  </si>
  <si>
    <t>Public sector earnings by industrial classification</t>
  </si>
  <si>
    <t>African</t>
  </si>
  <si>
    <t>Non-African</t>
  </si>
  <si>
    <t>Kampala cost of living index (June) (1951 = 100)</t>
  </si>
  <si>
    <t>Kampala cost of living - middle income (1961 = 100)</t>
  </si>
  <si>
    <t>Kampala cost of living - middle income (1981 = 100) (June of each year)</t>
  </si>
  <si>
    <t>Consumer price index (2010 = 100)</t>
  </si>
  <si>
    <t>Consumer price index, spliced series (1961 = 100)</t>
  </si>
  <si>
    <t>Swith to new Shillings</t>
  </si>
  <si>
    <t>USh. millions (old shillings pre-1988, new after)</t>
  </si>
  <si>
    <t>Revenue, total, incl. grants</t>
  </si>
  <si>
    <t>Revenue, total, excl. grants</t>
  </si>
  <si>
    <t>Revenue, central govt, incl. grants</t>
  </si>
  <si>
    <t>Contributions from local funds (not excluded from revenue)</t>
  </si>
  <si>
    <t>Local govt own revenue</t>
  </si>
  <si>
    <t>Local govt revenue, estimated as % of CG revenue</t>
  </si>
  <si>
    <t>Total central govt expenditure</t>
  </si>
  <si>
    <t>Recurrent</t>
  </si>
  <si>
    <t>o/w defense wages</t>
  </si>
  <si>
    <t>Development</t>
  </si>
  <si>
    <t>Unallocated</t>
  </si>
  <si>
    <t>o/w externally financed development</t>
  </si>
  <si>
    <t>o/w debt related</t>
  </si>
  <si>
    <t>Functional classification of spending (total)</t>
  </si>
  <si>
    <t>Education (recurrent and development)</t>
  </si>
  <si>
    <t>Development (externally financed)</t>
  </si>
  <si>
    <t>Old Shillings pre 1989; New shillings after, millions</t>
  </si>
  <si>
    <t>WDI + estimates for pre-1960</t>
  </si>
  <si>
    <t>GDP (current) (million)</t>
  </si>
  <si>
    <t>GDP, current, factor cost</t>
  </si>
  <si>
    <t>Final consumption expenditure, etc. (% of GDP)</t>
  </si>
  <si>
    <t>Household final consumption expenditure (million)</t>
  </si>
  <si>
    <t>thousands</t>
  </si>
  <si>
    <t>Primary enrollment - total, '000</t>
  </si>
  <si>
    <t>Secondary enrollment '000</t>
  </si>
  <si>
    <t>Form I-IV</t>
  </si>
  <si>
    <t>Form V-VI</t>
  </si>
  <si>
    <t>number</t>
  </si>
  <si>
    <t>Teacher training</t>
  </si>
  <si>
    <t>University</t>
  </si>
  <si>
    <t>o/w private universities</t>
  </si>
  <si>
    <t>Colleges (commerce, uni affiliates, health, management etc.)</t>
  </si>
  <si>
    <t>Reported on calendar year basis</t>
  </si>
  <si>
    <t xml:space="preserve">Primary enrolment </t>
  </si>
  <si>
    <t>Reported on FY basis</t>
  </si>
  <si>
    <t>Calendar year (survey in June)</t>
  </si>
  <si>
    <t>EA ESB and KE SA, various years, see comments</t>
  </si>
  <si>
    <t>Earnings, KSh. Million / year</t>
  </si>
  <si>
    <t>KE EES &amp; SA, various years, see comments</t>
  </si>
  <si>
    <t>Higher education enrolment, total</t>
  </si>
  <si>
    <t>Universities and polytechnics</t>
  </si>
  <si>
    <t>Public employment, detailed</t>
  </si>
  <si>
    <t>Public sector earnings</t>
  </si>
  <si>
    <t>Population, mainland only, official census estimates and interpolation between censuses</t>
  </si>
  <si>
    <t>EES - TOTAL FORMAL EMPLOYMENT</t>
  </si>
  <si>
    <t>Recurrent receipts, excl. appropriations-in-aid/departmental earnings</t>
  </si>
  <si>
    <t>Revenue, local government own revenue</t>
  </si>
  <si>
    <t>Expenditure, excl. appropriations-in-aid</t>
  </si>
  <si>
    <t>Economic classification of central government expenditure - reclassification</t>
  </si>
  <si>
    <t xml:space="preserve">Universities and colleges, total </t>
  </si>
  <si>
    <t>Technical education - nonhigher (certificates and ordinary diplomas)</t>
  </si>
  <si>
    <t>Technical education - higher (advanced diplomas etc.)</t>
  </si>
  <si>
    <t>Tertiary enrollment, total</t>
  </si>
  <si>
    <t>Number</t>
  </si>
  <si>
    <t>2014/15</t>
  </si>
  <si>
    <t>2015/16</t>
  </si>
  <si>
    <t>Notes</t>
  </si>
  <si>
    <t>Interpolations and extrapolations in red.</t>
  </si>
  <si>
    <t>National teachers colleges</t>
  </si>
  <si>
    <t>Technical institutes</t>
  </si>
  <si>
    <t>Tertiary enrollment, total (all tertiary institutions)</t>
  </si>
  <si>
    <t>East African University - degree courses, total</t>
  </si>
  <si>
    <t>East African University - diploma courses, total</t>
  </si>
  <si>
    <t>Overseas students - degree courses</t>
  </si>
  <si>
    <t>Overseas students - diploma courses</t>
  </si>
  <si>
    <t>Fiscal and calendar years aligned as shown by top time bar.</t>
  </si>
  <si>
    <t>The cell comment boxes are used to identify the data source. The comment applies to any rows immediately below and from the year in question until the next comment marking a new source.</t>
  </si>
  <si>
    <t>Grey italicized sections mark constructed or spliced series that underlie charts in the chapters.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</si>
</sst>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0.00_-;\-* #,##0.00_-;_-* &quot;-&quot;??_-;_-@_-"/>
    <numFmt numFmtId="164" formatCode="0.0%"/>
    <numFmt numFmtId="165" formatCode="_-* #,##0_-;\-* #,##0_-;_-* &quot;-&quot;??_-;_-@_-"/>
    <numFmt numFmtId="166" formatCode="_-* #,##0.000_-;\-* #,##0.000_-;_-* &quot;-&quot;??_-;_-@_-"/>
    <numFmt numFmtId="167" formatCode="0.000"/>
    <numFmt numFmtId="168" formatCode="0.0"/>
    <numFmt numFmtId="169" formatCode="_-* #,##0.0_-;\-* #,##0.0_-;_-* &quot;-&quot;??_-;_-@_-"/>
    <numFmt numFmtId="170" formatCode="_-* #,##0.0000_-;\-* #,##0.0000_-;_-* &quot;-&quot;??_-;_-@_-"/>
  </numFmts>
  <fonts count="20" x14ac:knownFonts="1">
    <font>
      <sz val="11"/>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sz val="10"/>
      <color rgb="FFFF0000"/>
      <name val="Calibri"/>
      <family val="2"/>
      <scheme val="minor"/>
    </font>
    <font>
      <i/>
      <sz val="10"/>
      <color theme="1"/>
      <name val="Calibri"/>
      <family val="2"/>
      <scheme val="minor"/>
    </font>
    <font>
      <sz val="10"/>
      <name val="Calibri"/>
      <family val="2"/>
      <scheme val="minor"/>
    </font>
    <font>
      <b/>
      <i/>
      <sz val="10"/>
      <color theme="1"/>
      <name val="Calibri"/>
      <family val="2"/>
      <scheme val="minor"/>
    </font>
    <font>
      <b/>
      <sz val="9"/>
      <color indexed="81"/>
      <name val="Tahoma"/>
      <family val="2"/>
    </font>
    <font>
      <sz val="9"/>
      <color indexed="81"/>
      <name val="Tahoma"/>
      <family val="2"/>
    </font>
    <font>
      <sz val="9"/>
      <color indexed="81"/>
      <name val="Calibri"/>
      <family val="2"/>
    </font>
    <font>
      <i/>
      <sz val="10"/>
      <name val="Calibri"/>
      <family val="2"/>
      <scheme val="minor"/>
    </font>
    <font>
      <i/>
      <sz val="10"/>
      <color rgb="FFFF0000"/>
      <name val="Calibri"/>
      <family val="2"/>
      <scheme val="minor"/>
    </font>
    <font>
      <sz val="10"/>
      <color theme="4"/>
      <name val="Calibri"/>
      <family val="2"/>
      <scheme val="minor"/>
    </font>
    <font>
      <b/>
      <sz val="9"/>
      <color indexed="81"/>
      <name val="Calibri"/>
      <family val="2"/>
    </font>
    <font>
      <sz val="10"/>
      <color theme="8"/>
      <name val="Calibri"/>
      <family val="2"/>
      <scheme val="minor"/>
    </font>
    <font>
      <i/>
      <sz val="10"/>
      <color theme="8"/>
      <name val="Calibri"/>
      <family val="2"/>
      <scheme val="minor"/>
    </font>
    <font>
      <b/>
      <sz val="10"/>
      <name val="Calibri"/>
      <family val="2"/>
      <scheme val="minor"/>
    </font>
    <font>
      <b/>
      <sz val="11"/>
      <color theme="1"/>
      <name val="Calibri"/>
      <family val="2"/>
      <scheme val="minor"/>
    </font>
    <font>
      <i/>
      <sz val="10"/>
      <color theme="4"/>
      <name val="Calibri"/>
      <family val="2"/>
      <scheme val="minor"/>
    </font>
  </fonts>
  <fills count="6">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0" tint="-4.9989318521683403E-2"/>
        <bgColor indexed="64"/>
      </patternFill>
    </fill>
  </fills>
  <borders count="1">
    <border>
      <left/>
      <right/>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233">
    <xf numFmtId="0" fontId="0" fillId="0" borderId="0" xfId="0"/>
    <xf numFmtId="0" fontId="2" fillId="2" borderId="0" xfId="0" applyFont="1" applyFill="1" applyAlignment="1"/>
    <xf numFmtId="0" fontId="3" fillId="2" borderId="0" xfId="0" applyFont="1" applyFill="1" applyAlignment="1"/>
    <xf numFmtId="0" fontId="3" fillId="2" borderId="0" xfId="0" applyFont="1" applyFill="1" applyAlignment="1">
      <alignment horizontal="right"/>
    </xf>
    <xf numFmtId="0" fontId="2" fillId="0" borderId="0" xfId="0" applyFont="1" applyAlignment="1"/>
    <xf numFmtId="0" fontId="3" fillId="0" borderId="0" xfId="0" applyFont="1" applyAlignment="1"/>
    <xf numFmtId="164" fontId="3" fillId="0" borderId="0" xfId="2" applyNumberFormat="1" applyFont="1" applyAlignment="1"/>
    <xf numFmtId="0" fontId="2" fillId="3" borderId="0" xfId="0" applyFont="1" applyFill="1" applyAlignment="1"/>
    <xf numFmtId="0" fontId="3" fillId="3" borderId="0" xfId="0" applyFont="1" applyFill="1" applyAlignment="1"/>
    <xf numFmtId="165" fontId="2" fillId="3" borderId="0" xfId="1" applyNumberFormat="1" applyFont="1" applyFill="1" applyAlignment="1"/>
    <xf numFmtId="0" fontId="2" fillId="0" borderId="0" xfId="0" applyFont="1" applyFill="1" applyAlignment="1"/>
    <xf numFmtId="165" fontId="2" fillId="0" borderId="0" xfId="1" applyNumberFormat="1" applyFont="1" applyFill="1" applyAlignment="1">
      <alignment horizontal="left"/>
    </xf>
    <xf numFmtId="0" fontId="3" fillId="0" borderId="0" xfId="0" applyFont="1" applyFill="1" applyAlignment="1"/>
    <xf numFmtId="165" fontId="2" fillId="0" borderId="0" xfId="1" applyNumberFormat="1" applyFont="1" applyFill="1" applyAlignment="1"/>
    <xf numFmtId="164" fontId="2" fillId="0" borderId="0" xfId="2" applyNumberFormat="1" applyFont="1" applyFill="1" applyAlignment="1"/>
    <xf numFmtId="166" fontId="2" fillId="0" borderId="0" xfId="1" applyNumberFormat="1" applyFont="1" applyFill="1" applyAlignment="1"/>
    <xf numFmtId="10" fontId="2" fillId="0" borderId="0" xfId="2" applyNumberFormat="1" applyFont="1" applyFill="1" applyAlignment="1"/>
    <xf numFmtId="3" fontId="2" fillId="0" borderId="0" xfId="0" applyNumberFormat="1" applyFont="1" applyFill="1" applyAlignment="1"/>
    <xf numFmtId="1" fontId="4" fillId="0" borderId="0" xfId="0" applyNumberFormat="1" applyFont="1" applyFill="1" applyAlignment="1"/>
    <xf numFmtId="1" fontId="2" fillId="0" borderId="0" xfId="0" applyNumberFormat="1" applyFont="1" applyFill="1" applyAlignment="1"/>
    <xf numFmtId="0" fontId="5" fillId="0" borderId="0" xfId="0" applyFont="1" applyFill="1" applyAlignment="1"/>
    <xf numFmtId="0" fontId="2" fillId="0" borderId="0" xfId="0" applyFont="1" applyFill="1" applyAlignment="1">
      <alignment horizontal="left" indent="1"/>
    </xf>
    <xf numFmtId="0" fontId="2" fillId="0" borderId="0" xfId="0" applyFont="1" applyFill="1" applyAlignment="1">
      <alignment horizontal="left"/>
    </xf>
    <xf numFmtId="0" fontId="2" fillId="0" borderId="0" xfId="0" applyFont="1" applyFill="1" applyAlignment="1">
      <alignment horizontal="left" indent="2"/>
    </xf>
    <xf numFmtId="1" fontId="2" fillId="0" borderId="0" xfId="0" applyNumberFormat="1" applyFont="1" applyAlignment="1"/>
    <xf numFmtId="0" fontId="2" fillId="0" borderId="0" xfId="0" applyFont="1" applyFill="1"/>
    <xf numFmtId="0" fontId="2" fillId="0" borderId="0" xfId="0" applyFont="1"/>
    <xf numFmtId="1" fontId="2" fillId="0" borderId="0" xfId="0" applyNumberFormat="1" applyFont="1"/>
    <xf numFmtId="0" fontId="2" fillId="0" borderId="0" xfId="0" applyFont="1" applyAlignment="1">
      <alignment horizontal="left" indent="2"/>
    </xf>
    <xf numFmtId="0" fontId="2" fillId="0" borderId="0" xfId="0" applyFont="1" applyAlignment="1">
      <alignment horizontal="left" indent="1"/>
    </xf>
    <xf numFmtId="0" fontId="2" fillId="0" borderId="0" xfId="0" applyFont="1" applyAlignment="1">
      <alignment vertical="center"/>
    </xf>
    <xf numFmtId="0" fontId="2" fillId="0" borderId="0" xfId="0" applyFont="1" applyAlignment="1">
      <alignment horizontal="left"/>
    </xf>
    <xf numFmtId="168" fontId="2" fillId="0" borderId="0" xfId="0" applyNumberFormat="1" applyFont="1" applyAlignment="1"/>
    <xf numFmtId="168" fontId="4" fillId="0" borderId="0" xfId="0" applyNumberFormat="1" applyFont="1" applyFill="1" applyAlignment="1"/>
    <xf numFmtId="168" fontId="5" fillId="0" borderId="0" xfId="0" applyNumberFormat="1" applyFont="1" applyAlignment="1"/>
    <xf numFmtId="0" fontId="3" fillId="0" borderId="0" xfId="0" applyFont="1" applyFill="1" applyAlignment="1">
      <alignment horizontal="left"/>
    </xf>
    <xf numFmtId="0" fontId="3" fillId="0" borderId="0" xfId="0" applyFont="1" applyAlignment="1">
      <alignment horizontal="left"/>
    </xf>
    <xf numFmtId="1" fontId="3" fillId="0" borderId="0" xfId="0" applyNumberFormat="1" applyFont="1" applyAlignment="1"/>
    <xf numFmtId="165" fontId="2" fillId="0" borderId="0" xfId="1" applyNumberFormat="1" applyFont="1" applyAlignment="1"/>
    <xf numFmtId="165" fontId="4" fillId="0" borderId="0" xfId="1" applyNumberFormat="1" applyFont="1" applyFill="1" applyAlignment="1"/>
    <xf numFmtId="0" fontId="5" fillId="0" borderId="0" xfId="0" applyFont="1"/>
    <xf numFmtId="169" fontId="2" fillId="0" borderId="0" xfId="1" applyNumberFormat="1" applyFont="1" applyAlignment="1"/>
    <xf numFmtId="0" fontId="3" fillId="3" borderId="0" xfId="0" applyFont="1" applyFill="1" applyAlignment="1">
      <alignment horizontal="left"/>
    </xf>
    <xf numFmtId="0" fontId="2" fillId="3" borderId="0" xfId="0" applyFont="1" applyFill="1" applyAlignment="1">
      <alignment horizontal="left"/>
    </xf>
    <xf numFmtId="0" fontId="4" fillId="3" borderId="0" xfId="0" applyFont="1" applyFill="1" applyAlignment="1"/>
    <xf numFmtId="1" fontId="6" fillId="0" borderId="0" xfId="0" applyNumberFormat="1" applyFont="1" applyFill="1" applyAlignment="1"/>
    <xf numFmtId="167" fontId="3" fillId="3" borderId="0" xfId="0" applyNumberFormat="1" applyFont="1" applyFill="1" applyAlignment="1"/>
    <xf numFmtId="168" fontId="2" fillId="0" borderId="0" xfId="0" applyNumberFormat="1" applyFont="1" applyFill="1" applyAlignment="1"/>
    <xf numFmtId="0" fontId="5" fillId="0" borderId="0" xfId="0" applyFont="1" applyAlignment="1"/>
    <xf numFmtId="0" fontId="5" fillId="0" borderId="0" xfId="0" applyFont="1" applyAlignment="1">
      <alignment horizontal="left" indent="2"/>
    </xf>
    <xf numFmtId="0" fontId="5" fillId="0" borderId="0" xfId="0" applyFont="1" applyAlignment="1">
      <alignment horizontal="left"/>
    </xf>
    <xf numFmtId="165" fontId="5" fillId="0" borderId="0" xfId="1" applyNumberFormat="1" applyFont="1" applyAlignment="1"/>
    <xf numFmtId="0" fontId="7" fillId="0" borderId="0" xfId="0" applyFont="1" applyAlignment="1"/>
    <xf numFmtId="0" fontId="5" fillId="0" borderId="0" xfId="0" applyFont="1" applyFill="1" applyAlignment="1">
      <alignment horizontal="left"/>
    </xf>
    <xf numFmtId="2" fontId="2" fillId="0" borderId="0" xfId="0" applyNumberFormat="1" applyFont="1" applyAlignment="1"/>
    <xf numFmtId="0" fontId="4" fillId="0" borderId="0" xfId="0" applyFont="1"/>
    <xf numFmtId="165" fontId="2" fillId="0" borderId="0" xfId="1" applyNumberFormat="1" applyFont="1"/>
    <xf numFmtId="0" fontId="2" fillId="0" borderId="0" xfId="0" applyFont="1" applyFill="1" applyAlignment="1">
      <alignment wrapText="1"/>
    </xf>
    <xf numFmtId="167" fontId="2" fillId="0" borderId="0" xfId="0" applyNumberFormat="1" applyFont="1" applyAlignment="1"/>
    <xf numFmtId="165" fontId="2" fillId="0" borderId="0" xfId="1" applyNumberFormat="1" applyFont="1" applyAlignment="1">
      <alignment vertical="center"/>
    </xf>
    <xf numFmtId="0" fontId="4" fillId="0" borderId="0" xfId="0" applyFont="1" applyAlignment="1">
      <alignment vertical="center"/>
    </xf>
    <xf numFmtId="165" fontId="2" fillId="0" borderId="0" xfId="0" applyNumberFormat="1" applyFont="1" applyAlignment="1">
      <alignment vertical="center"/>
    </xf>
    <xf numFmtId="168" fontId="2" fillId="0" borderId="0" xfId="2" applyNumberFormat="1" applyFont="1" applyAlignment="1"/>
    <xf numFmtId="0" fontId="2" fillId="2" borderId="0" xfId="0" applyFont="1" applyFill="1" applyAlignment="1">
      <alignment vertical="center"/>
    </xf>
    <xf numFmtId="0" fontId="3" fillId="2" borderId="0" xfId="0" applyFont="1" applyFill="1" applyAlignment="1">
      <alignment vertical="center"/>
    </xf>
    <xf numFmtId="0" fontId="3" fillId="2" borderId="0" xfId="0" applyFont="1" applyFill="1" applyAlignment="1">
      <alignment horizontal="right" vertical="center"/>
    </xf>
    <xf numFmtId="0" fontId="2" fillId="0" borderId="0" xfId="0" applyFont="1" applyFill="1" applyAlignment="1">
      <alignment vertical="center"/>
    </xf>
    <xf numFmtId="165" fontId="2" fillId="0" borderId="0" xfId="1" applyNumberFormat="1" applyFont="1" applyFill="1" applyAlignment="1">
      <alignment horizontal="left" vertical="center"/>
    </xf>
    <xf numFmtId="165" fontId="2" fillId="0" borderId="0" xfId="1" applyNumberFormat="1" applyFont="1" applyFill="1" applyAlignment="1">
      <alignment vertical="center"/>
    </xf>
    <xf numFmtId="0" fontId="5" fillId="0" borderId="0" xfId="0" applyFont="1" applyFill="1" applyAlignment="1">
      <alignment vertical="center"/>
    </xf>
    <xf numFmtId="165" fontId="5" fillId="0" borderId="0" xfId="1" applyNumberFormat="1" applyFont="1" applyFill="1" applyAlignment="1">
      <alignment horizontal="left" vertical="center"/>
    </xf>
    <xf numFmtId="165" fontId="11" fillId="0" borderId="0" xfId="1" applyNumberFormat="1" applyFont="1" applyFill="1" applyAlignment="1">
      <alignment horizontal="left" vertical="center"/>
    </xf>
    <xf numFmtId="0" fontId="12" fillId="0" borderId="0" xfId="0" applyFont="1" applyFill="1" applyAlignment="1">
      <alignment vertical="center"/>
    </xf>
    <xf numFmtId="165" fontId="12" fillId="0" borderId="0" xfId="1" applyNumberFormat="1" applyFont="1" applyFill="1" applyAlignment="1">
      <alignment vertical="center"/>
    </xf>
    <xf numFmtId="0" fontId="7" fillId="0" borderId="0" xfId="0" applyFont="1" applyFill="1" applyAlignment="1">
      <alignment vertical="center"/>
    </xf>
    <xf numFmtId="165" fontId="7" fillId="0" borderId="0" xfId="1" applyNumberFormat="1" applyFont="1" applyFill="1" applyAlignment="1">
      <alignment vertical="center"/>
    </xf>
    <xf numFmtId="165" fontId="5" fillId="0" borderId="0" xfId="1" applyNumberFormat="1" applyFont="1" applyFill="1" applyAlignment="1">
      <alignment vertical="center"/>
    </xf>
    <xf numFmtId="3" fontId="5" fillId="0" borderId="0" xfId="0" applyNumberFormat="1" applyFont="1" applyFill="1" applyAlignment="1">
      <alignment vertical="center"/>
    </xf>
    <xf numFmtId="167" fontId="5" fillId="0" borderId="0" xfId="0" applyNumberFormat="1" applyFont="1" applyFill="1" applyAlignment="1">
      <alignment vertical="center"/>
    </xf>
    <xf numFmtId="168" fontId="4" fillId="0" borderId="0" xfId="0" applyNumberFormat="1" applyFont="1" applyFill="1" applyAlignment="1">
      <alignment vertical="center"/>
    </xf>
    <xf numFmtId="168" fontId="2" fillId="0" borderId="0" xfId="0" applyNumberFormat="1" applyFont="1" applyFill="1" applyAlignment="1">
      <alignment vertical="center"/>
    </xf>
    <xf numFmtId="0" fontId="5" fillId="3" borderId="0" xfId="0" applyFont="1" applyFill="1" applyAlignment="1"/>
    <xf numFmtId="0" fontId="3" fillId="0" borderId="0" xfId="0" applyFont="1" applyAlignment="1">
      <alignment vertical="center"/>
    </xf>
    <xf numFmtId="3" fontId="2" fillId="0" borderId="0" xfId="0" applyNumberFormat="1" applyFont="1" applyFill="1" applyAlignment="1">
      <alignment vertical="center"/>
    </xf>
    <xf numFmtId="0" fontId="2" fillId="0" borderId="0" xfId="0" applyFont="1" applyAlignment="1">
      <alignment horizontal="left" vertical="center" indent="1"/>
    </xf>
    <xf numFmtId="1" fontId="2" fillId="0" borderId="0" xfId="0" applyNumberFormat="1" applyFont="1" applyAlignment="1">
      <alignment vertical="center"/>
    </xf>
    <xf numFmtId="168" fontId="2" fillId="0" borderId="0" xfId="0" applyNumberFormat="1" applyFont="1" applyAlignment="1">
      <alignment vertical="center"/>
    </xf>
    <xf numFmtId="0" fontId="2" fillId="0" borderId="0" xfId="0" applyFont="1" applyAlignment="1">
      <alignment horizontal="left" vertical="center"/>
    </xf>
    <xf numFmtId="0" fontId="5" fillId="0" borderId="0" xfId="0" applyFont="1" applyAlignment="1">
      <alignment vertical="center"/>
    </xf>
    <xf numFmtId="0" fontId="2" fillId="0" borderId="0" xfId="0" applyFont="1" applyAlignment="1">
      <alignment horizontal="left" vertical="center" indent="2"/>
    </xf>
    <xf numFmtId="1" fontId="2" fillId="0" borderId="0" xfId="0" applyNumberFormat="1" applyFont="1" applyFill="1" applyAlignment="1">
      <alignment vertical="center"/>
    </xf>
    <xf numFmtId="0" fontId="5" fillId="0" borderId="0" xfId="0" applyFont="1" applyAlignment="1">
      <alignment horizontal="left" vertical="center"/>
    </xf>
    <xf numFmtId="0" fontId="5" fillId="0" borderId="0" xfId="0" applyFont="1" applyAlignment="1">
      <alignment horizontal="left" vertical="center" indent="2"/>
    </xf>
    <xf numFmtId="0" fontId="3" fillId="0" borderId="0" xfId="0" applyFont="1" applyAlignment="1">
      <alignment horizontal="left" vertical="center"/>
    </xf>
    <xf numFmtId="0" fontId="2" fillId="0" borderId="0" xfId="0" applyFont="1" applyFill="1" applyAlignment="1">
      <alignment horizontal="left" vertical="center" indent="1"/>
    </xf>
    <xf numFmtId="0" fontId="2" fillId="0" borderId="0" xfId="0" applyFont="1" applyFill="1" applyAlignment="1">
      <alignment horizontal="left" vertical="center" indent="2"/>
    </xf>
    <xf numFmtId="0" fontId="2" fillId="0" borderId="0" xfId="0" quotePrefix="1" applyFont="1" applyFill="1" applyAlignment="1">
      <alignment horizontal="left" vertical="center" indent="2"/>
    </xf>
    <xf numFmtId="0" fontId="2" fillId="0" borderId="0" xfId="0" applyFont="1" applyAlignment="1">
      <alignment horizontal="left" vertical="center" indent="3"/>
    </xf>
    <xf numFmtId="0" fontId="3" fillId="0" borderId="0" xfId="0" applyFont="1"/>
    <xf numFmtId="0" fontId="2" fillId="0" borderId="0" xfId="0" applyFont="1" applyFill="1" applyAlignment="1">
      <alignment horizontal="left" vertical="center"/>
    </xf>
    <xf numFmtId="9" fontId="2" fillId="0" borderId="0" xfId="2" applyFont="1" applyAlignment="1">
      <alignment vertical="center"/>
    </xf>
    <xf numFmtId="0" fontId="3" fillId="0" borderId="0" xfId="0" applyFont="1" applyFill="1" applyAlignment="1">
      <alignment horizontal="left" vertical="center"/>
    </xf>
    <xf numFmtId="1" fontId="4" fillId="0" borderId="0" xfId="0" applyNumberFormat="1" applyFont="1" applyAlignment="1">
      <alignment vertical="center"/>
    </xf>
    <xf numFmtId="0" fontId="4" fillId="0" borderId="0" xfId="0" applyFont="1" applyFill="1" applyAlignment="1">
      <alignment vertical="center"/>
    </xf>
    <xf numFmtId="0" fontId="2" fillId="3" borderId="0" xfId="0" applyFont="1" applyFill="1" applyAlignment="1">
      <alignment vertical="center"/>
    </xf>
    <xf numFmtId="0" fontId="3" fillId="3" borderId="0" xfId="0" applyFont="1" applyFill="1" applyAlignment="1">
      <alignment horizontal="left" vertical="center"/>
    </xf>
    <xf numFmtId="165" fontId="5" fillId="0" borderId="0" xfId="1" applyNumberFormat="1" applyFont="1" applyAlignment="1">
      <alignment vertical="center"/>
    </xf>
    <xf numFmtId="2" fontId="2" fillId="0" borderId="0" xfId="0" applyNumberFormat="1" applyFont="1" applyFill="1" applyAlignment="1">
      <alignment vertical="center"/>
    </xf>
    <xf numFmtId="1" fontId="2" fillId="0" borderId="0" xfId="2" applyNumberFormat="1" applyFont="1" applyFill="1" applyAlignment="1">
      <alignment vertical="center"/>
    </xf>
    <xf numFmtId="43" fontId="2" fillId="0" borderId="0" xfId="1" applyNumberFormat="1" applyFont="1" applyAlignment="1">
      <alignment vertical="center"/>
    </xf>
    <xf numFmtId="43" fontId="2" fillId="0" borderId="0" xfId="1" applyFont="1" applyAlignment="1">
      <alignment vertical="center"/>
    </xf>
    <xf numFmtId="43" fontId="6" fillId="0" borderId="0" xfId="1" applyFont="1" applyAlignment="1">
      <alignment vertical="center"/>
    </xf>
    <xf numFmtId="9" fontId="5" fillId="0" borderId="0" xfId="2" applyFont="1" applyAlignment="1">
      <alignment vertical="center"/>
    </xf>
    <xf numFmtId="166" fontId="2" fillId="0" borderId="0" xfId="0" applyNumberFormat="1" applyFont="1"/>
    <xf numFmtId="0" fontId="3" fillId="0" borderId="0" xfId="0" applyFont="1" applyFill="1" applyAlignment="1">
      <alignment vertical="center"/>
    </xf>
    <xf numFmtId="1" fontId="4" fillId="0" borderId="0" xfId="0" applyNumberFormat="1" applyFont="1" applyFill="1" applyAlignment="1">
      <alignment vertical="center"/>
    </xf>
    <xf numFmtId="9" fontId="12" fillId="0" borderId="0" xfId="2" applyFont="1" applyAlignment="1">
      <alignment vertical="center"/>
    </xf>
    <xf numFmtId="9" fontId="2" fillId="3" borderId="0" xfId="2" applyFont="1" applyFill="1" applyAlignment="1"/>
    <xf numFmtId="168" fontId="2" fillId="0" borderId="0" xfId="2" applyNumberFormat="1" applyFont="1" applyAlignment="1">
      <alignment vertical="center"/>
    </xf>
    <xf numFmtId="165" fontId="2" fillId="0" borderId="0" xfId="2" applyNumberFormat="1" applyFont="1" applyAlignment="1">
      <alignment vertical="center"/>
    </xf>
    <xf numFmtId="0" fontId="2" fillId="0" borderId="0" xfId="0" quotePrefix="1" applyFont="1" applyFill="1" applyAlignment="1">
      <alignment vertical="center"/>
    </xf>
    <xf numFmtId="168" fontId="2" fillId="0" borderId="0" xfId="2" applyNumberFormat="1" applyFont="1" applyFill="1" applyAlignment="1">
      <alignment vertical="center"/>
    </xf>
    <xf numFmtId="2" fontId="2" fillId="0" borderId="0" xfId="2" applyNumberFormat="1" applyFont="1" applyFill="1" applyAlignment="1">
      <alignment vertical="center"/>
    </xf>
    <xf numFmtId="165" fontId="2" fillId="0" borderId="0" xfId="1" applyNumberFormat="1" applyFont="1" applyAlignment="1">
      <alignment horizontal="left" vertical="center"/>
    </xf>
    <xf numFmtId="165" fontId="2" fillId="0" borderId="0" xfId="0" applyNumberFormat="1" applyFont="1" applyFill="1" applyAlignment="1">
      <alignment vertical="center"/>
    </xf>
    <xf numFmtId="0" fontId="3" fillId="0" borderId="0" xfId="0" applyFont="1" applyAlignment="1">
      <alignment horizontal="left" vertical="center" indent="1"/>
    </xf>
    <xf numFmtId="1" fontId="3" fillId="0" borderId="0" xfId="0" applyNumberFormat="1" applyFont="1" applyFill="1" applyAlignment="1">
      <alignment vertical="center"/>
    </xf>
    <xf numFmtId="9" fontId="2" fillId="0" borderId="0" xfId="2" applyFont="1" applyFill="1" applyAlignment="1">
      <alignment vertical="center"/>
    </xf>
    <xf numFmtId="1" fontId="2" fillId="0" borderId="0" xfId="1" applyNumberFormat="1" applyFont="1" applyAlignment="1">
      <alignment vertical="center"/>
    </xf>
    <xf numFmtId="167" fontId="2" fillId="0" borderId="0" xfId="1" applyNumberFormat="1" applyFont="1" applyAlignment="1">
      <alignment vertical="center"/>
    </xf>
    <xf numFmtId="168" fontId="2" fillId="0" borderId="0" xfId="0" applyNumberFormat="1" applyFont="1" applyAlignment="1">
      <alignment horizontal="left" vertical="center"/>
    </xf>
    <xf numFmtId="169" fontId="2" fillId="0" borderId="0" xfId="1" applyNumberFormat="1" applyFont="1"/>
    <xf numFmtId="166" fontId="2" fillId="0" borderId="0" xfId="0" applyNumberFormat="1" applyFont="1" applyFill="1" applyAlignment="1"/>
    <xf numFmtId="165" fontId="6" fillId="0" borderId="0" xfId="1" applyNumberFormat="1" applyFont="1" applyFill="1" applyAlignment="1">
      <alignment vertical="center"/>
    </xf>
    <xf numFmtId="0" fontId="5" fillId="0" borderId="0" xfId="0" applyFont="1" applyFill="1" applyAlignment="1">
      <alignment horizontal="left" vertical="center"/>
    </xf>
    <xf numFmtId="165" fontId="4" fillId="0" borderId="0" xfId="1" applyNumberFormat="1" applyFont="1" applyAlignment="1"/>
    <xf numFmtId="9" fontId="4" fillId="0" borderId="0" xfId="2" applyFont="1" applyAlignment="1"/>
    <xf numFmtId="9" fontId="6" fillId="0" borderId="0" xfId="2" applyFont="1" applyFill="1" applyAlignment="1">
      <alignment vertical="center"/>
    </xf>
    <xf numFmtId="0" fontId="2" fillId="0" borderId="0" xfId="0" applyFont="1" applyFill="1" applyAlignment="1">
      <alignment horizontal="left" vertical="center" indent="3"/>
    </xf>
    <xf numFmtId="0" fontId="6" fillId="0" borderId="0" xfId="0" applyFont="1" applyAlignment="1">
      <alignment vertical="center"/>
    </xf>
    <xf numFmtId="165" fontId="2" fillId="4" borderId="0" xfId="1" applyNumberFormat="1" applyFont="1" applyFill="1" applyAlignment="1">
      <alignment vertical="center"/>
    </xf>
    <xf numFmtId="0" fontId="2" fillId="0" borderId="0" xfId="0" quotePrefix="1" applyFont="1" applyAlignment="1">
      <alignment vertical="center"/>
    </xf>
    <xf numFmtId="170" fontId="2" fillId="0" borderId="0" xfId="0" applyNumberFormat="1" applyFont="1" applyAlignment="1">
      <alignment vertical="center"/>
    </xf>
    <xf numFmtId="43" fontId="2" fillId="0" borderId="0" xfId="0" applyNumberFormat="1" applyFont="1" applyAlignment="1">
      <alignment vertical="center"/>
    </xf>
    <xf numFmtId="0" fontId="0" fillId="0" borderId="0" xfId="0" applyAlignment="1">
      <alignment vertical="center"/>
    </xf>
    <xf numFmtId="165" fontId="3" fillId="0" borderId="0" xfId="1" applyNumberFormat="1" applyFont="1" applyFill="1" applyAlignment="1">
      <alignment vertical="center"/>
    </xf>
    <xf numFmtId="0" fontId="16" fillId="0" borderId="0" xfId="0" applyFont="1" applyFill="1" applyAlignment="1">
      <alignment vertical="center"/>
    </xf>
    <xf numFmtId="0" fontId="15" fillId="0" borderId="0" xfId="0" applyFont="1" applyFill="1" applyAlignment="1">
      <alignment vertical="center"/>
    </xf>
    <xf numFmtId="0" fontId="15" fillId="0" borderId="0" xfId="0" applyFont="1" applyFill="1"/>
    <xf numFmtId="169" fontId="4" fillId="0" borderId="0" xfId="1" applyNumberFormat="1" applyFont="1" applyFill="1" applyAlignment="1"/>
    <xf numFmtId="169" fontId="4" fillId="0" borderId="0" xfId="1" applyNumberFormat="1" applyFont="1" applyAlignment="1"/>
    <xf numFmtId="169" fontId="6" fillId="0" borderId="0" xfId="1" applyNumberFormat="1" applyFont="1" applyAlignment="1"/>
    <xf numFmtId="165" fontId="6" fillId="0" borderId="0" xfId="1" applyNumberFormat="1" applyFont="1" applyFill="1" applyAlignment="1"/>
    <xf numFmtId="165" fontId="2" fillId="0" borderId="0" xfId="1" applyNumberFormat="1" applyFont="1" applyFill="1"/>
    <xf numFmtId="165" fontId="6" fillId="0" borderId="0" xfId="1" applyNumberFormat="1" applyFont="1"/>
    <xf numFmtId="165" fontId="4" fillId="0" borderId="0" xfId="1" applyNumberFormat="1" applyFont="1"/>
    <xf numFmtId="165" fontId="2" fillId="0" borderId="0" xfId="1" applyNumberFormat="1" applyFont="1" applyAlignment="1">
      <alignment horizontal="left"/>
    </xf>
    <xf numFmtId="165" fontId="3" fillId="0" borderId="0" xfId="1" applyNumberFormat="1" applyFont="1" applyAlignment="1"/>
    <xf numFmtId="165" fontId="6" fillId="0" borderId="0" xfId="1" applyNumberFormat="1" applyFont="1" applyAlignment="1"/>
    <xf numFmtId="165" fontId="4" fillId="3" borderId="0" xfId="1" applyNumberFormat="1" applyFont="1" applyFill="1" applyAlignment="1"/>
    <xf numFmtId="165" fontId="3" fillId="3" borderId="0" xfId="1" applyNumberFormat="1" applyFont="1" applyFill="1" applyAlignment="1"/>
    <xf numFmtId="165" fontId="15" fillId="0" borderId="0" xfId="1" applyNumberFormat="1" applyFont="1" applyFill="1" applyAlignment="1"/>
    <xf numFmtId="165" fontId="7" fillId="0" borderId="0" xfId="1" applyNumberFormat="1" applyFont="1" applyAlignment="1"/>
    <xf numFmtId="169" fontId="2" fillId="0" borderId="0" xfId="0" applyNumberFormat="1" applyFont="1" applyAlignment="1"/>
    <xf numFmtId="165" fontId="2" fillId="0" borderId="0" xfId="1" applyNumberFormat="1" applyFont="1" applyAlignment="1">
      <alignment horizontal="right" wrapText="1"/>
    </xf>
    <xf numFmtId="165" fontId="4" fillId="0" borderId="0" xfId="1" applyNumberFormat="1" applyFont="1" applyAlignment="1">
      <alignment vertical="center"/>
    </xf>
    <xf numFmtId="0" fontId="2" fillId="0" borderId="0" xfId="0" applyFont="1" applyAlignment="1">
      <alignment horizontal="left" indent="3"/>
    </xf>
    <xf numFmtId="0" fontId="2" fillId="0" borderId="0" xfId="1" applyNumberFormat="1" applyFont="1" applyFill="1" applyAlignment="1">
      <alignment horizontal="left" vertical="center"/>
    </xf>
    <xf numFmtId="0" fontId="17" fillId="0" borderId="0" xfId="0" applyFont="1" applyAlignment="1">
      <alignment horizontal="left" vertical="center"/>
    </xf>
    <xf numFmtId="0" fontId="6" fillId="0" borderId="0" xfId="0" applyFont="1" applyAlignment="1">
      <alignment horizontal="left" vertical="center"/>
    </xf>
    <xf numFmtId="169" fontId="2" fillId="0" borderId="0" xfId="1" applyNumberFormat="1" applyFont="1" applyFill="1" applyAlignment="1"/>
    <xf numFmtId="169" fontId="2" fillId="0" borderId="0" xfId="1" applyNumberFormat="1" applyFont="1" applyFill="1" applyAlignment="1">
      <alignment vertical="center"/>
    </xf>
    <xf numFmtId="169" fontId="4" fillId="0" borderId="0" xfId="1" applyNumberFormat="1" applyFont="1" applyFill="1" applyAlignment="1">
      <alignment vertical="center"/>
    </xf>
    <xf numFmtId="165" fontId="6" fillId="0" borderId="0" xfId="1" applyNumberFormat="1" applyFont="1" applyAlignment="1">
      <alignment vertical="center"/>
    </xf>
    <xf numFmtId="165" fontId="4" fillId="0" borderId="0" xfId="1" applyNumberFormat="1" applyFont="1" applyFill="1" applyAlignment="1">
      <alignment vertical="center"/>
    </xf>
    <xf numFmtId="165" fontId="3" fillId="0" borderId="0" xfId="1" applyNumberFormat="1" applyFont="1" applyAlignment="1">
      <alignment vertical="center"/>
    </xf>
    <xf numFmtId="165" fontId="11" fillId="0" borderId="0" xfId="1" applyNumberFormat="1" applyFont="1" applyFill="1" applyAlignment="1">
      <alignment vertical="center"/>
    </xf>
    <xf numFmtId="165" fontId="11" fillId="0" borderId="0" xfId="1" applyNumberFormat="1" applyFont="1" applyAlignment="1">
      <alignment vertical="center"/>
    </xf>
    <xf numFmtId="165" fontId="12" fillId="0" borderId="0" xfId="1" applyNumberFormat="1" applyFont="1" applyAlignment="1">
      <alignment vertical="center"/>
    </xf>
    <xf numFmtId="165" fontId="6" fillId="0" borderId="0" xfId="1" applyNumberFormat="1" applyFont="1" applyFill="1"/>
    <xf numFmtId="165" fontId="15" fillId="0" borderId="0" xfId="1" applyNumberFormat="1" applyFont="1" applyFill="1" applyAlignment="1">
      <alignment vertical="center"/>
    </xf>
    <xf numFmtId="165" fontId="3" fillId="0" borderId="0" xfId="1" applyNumberFormat="1" applyFont="1"/>
    <xf numFmtId="165" fontId="2" fillId="3" borderId="0" xfId="1" applyNumberFormat="1" applyFont="1" applyFill="1" applyAlignment="1">
      <alignment vertical="center"/>
    </xf>
    <xf numFmtId="165" fontId="13" fillId="0" borderId="0" xfId="1" applyNumberFormat="1" applyFont="1" applyAlignment="1">
      <alignment vertical="center"/>
    </xf>
    <xf numFmtId="165" fontId="13" fillId="0" borderId="0" xfId="1" applyNumberFormat="1" applyFont="1" applyFill="1" applyAlignment="1">
      <alignment vertical="center"/>
    </xf>
    <xf numFmtId="9" fontId="4" fillId="0" borderId="0" xfId="2" applyFont="1" applyAlignment="1">
      <alignment vertical="center"/>
    </xf>
    <xf numFmtId="165" fontId="1" fillId="0" borderId="0" xfId="1" applyNumberFormat="1" applyFont="1" applyAlignment="1">
      <alignment vertical="center"/>
    </xf>
    <xf numFmtId="170" fontId="2" fillId="0" borderId="0" xfId="1" applyNumberFormat="1" applyFont="1" applyAlignment="1">
      <alignment vertical="center"/>
    </xf>
    <xf numFmtId="9" fontId="2" fillId="0" borderId="0" xfId="2" applyFont="1" applyAlignment="1"/>
    <xf numFmtId="9" fontId="4" fillId="0" borderId="0" xfId="2" applyFont="1" applyFill="1" applyAlignment="1"/>
    <xf numFmtId="9" fontId="4" fillId="0" borderId="0" xfId="2" applyFont="1" applyFill="1" applyAlignment="1">
      <alignment vertical="center"/>
    </xf>
    <xf numFmtId="0" fontId="18" fillId="0" borderId="0" xfId="0" applyFont="1"/>
    <xf numFmtId="0" fontId="11" fillId="0" borderId="0" xfId="0" applyFont="1" applyAlignment="1">
      <alignment vertical="center"/>
    </xf>
    <xf numFmtId="165" fontId="2" fillId="0" borderId="0" xfId="0" applyNumberFormat="1" applyFont="1"/>
    <xf numFmtId="169" fontId="6" fillId="0" borderId="0" xfId="1" applyNumberFormat="1" applyFont="1" applyFill="1" applyAlignment="1">
      <alignment vertical="center"/>
    </xf>
    <xf numFmtId="1" fontId="2" fillId="0" borderId="0" xfId="1" applyNumberFormat="1" applyFont="1" applyFill="1" applyAlignment="1">
      <alignment horizontal="right" vertical="center"/>
    </xf>
    <xf numFmtId="1" fontId="2" fillId="0" borderId="0" xfId="0" applyNumberFormat="1" applyFont="1" applyFill="1" applyAlignment="1">
      <alignment horizontal="right" vertical="center"/>
    </xf>
    <xf numFmtId="165" fontId="17" fillId="0" borderId="0" xfId="1" applyNumberFormat="1" applyFont="1" applyFill="1" applyAlignment="1">
      <alignment vertical="center"/>
    </xf>
    <xf numFmtId="165" fontId="17" fillId="0" borderId="0" xfId="1" applyNumberFormat="1" applyFont="1" applyAlignment="1">
      <alignment vertical="center"/>
    </xf>
    <xf numFmtId="0" fontId="17" fillId="0" borderId="0" xfId="0" applyFont="1" applyFill="1" applyAlignment="1">
      <alignment vertical="center"/>
    </xf>
    <xf numFmtId="0" fontId="17" fillId="0" borderId="0" xfId="0" applyFont="1"/>
    <xf numFmtId="43" fontId="2" fillId="0" borderId="0" xfId="1" applyNumberFormat="1" applyFont="1"/>
    <xf numFmtId="0" fontId="5" fillId="5" borderId="0" xfId="0" applyFont="1" applyFill="1"/>
    <xf numFmtId="0" fontId="7" fillId="5" borderId="0" xfId="0" applyFont="1" applyFill="1" applyAlignment="1">
      <alignment horizontal="left"/>
    </xf>
    <xf numFmtId="0" fontId="5" fillId="5" borderId="0" xfId="0" applyFont="1" applyFill="1" applyAlignment="1">
      <alignment horizontal="left"/>
    </xf>
    <xf numFmtId="165" fontId="5" fillId="5" borderId="0" xfId="1" applyNumberFormat="1" applyFont="1" applyFill="1"/>
    <xf numFmtId="0" fontId="5" fillId="5" borderId="0" xfId="0" applyFont="1" applyFill="1" applyAlignment="1">
      <alignment horizontal="left" indent="1"/>
    </xf>
    <xf numFmtId="165" fontId="12" fillId="5" borderId="0" xfId="1" applyNumberFormat="1" applyFont="1" applyFill="1"/>
    <xf numFmtId="1" fontId="5" fillId="5" borderId="0" xfId="0" applyNumberFormat="1" applyFont="1" applyFill="1"/>
    <xf numFmtId="2" fontId="5" fillId="5" borderId="0" xfId="0" applyNumberFormat="1" applyFont="1" applyFill="1"/>
    <xf numFmtId="0" fontId="5" fillId="5" borderId="0" xfId="0" applyFont="1" applyFill="1" applyAlignment="1"/>
    <xf numFmtId="0" fontId="7" fillId="5" borderId="0" xfId="0" applyFont="1" applyFill="1" applyAlignment="1"/>
    <xf numFmtId="165" fontId="7" fillId="5" borderId="0" xfId="1" applyNumberFormat="1" applyFont="1" applyFill="1" applyAlignment="1"/>
    <xf numFmtId="165" fontId="5" fillId="5" borderId="0" xfId="1" applyNumberFormat="1" applyFont="1" applyFill="1" applyAlignment="1"/>
    <xf numFmtId="0" fontId="5" fillId="5" borderId="0" xfId="0" applyFont="1" applyFill="1" applyAlignment="1">
      <alignment vertical="center"/>
    </xf>
    <xf numFmtId="0" fontId="5" fillId="5" borderId="0" xfId="0" applyFont="1" applyFill="1" applyAlignment="1">
      <alignment horizontal="left" vertical="center" indent="1"/>
    </xf>
    <xf numFmtId="165" fontId="19" fillId="5" borderId="0" xfId="1" applyNumberFormat="1" applyFont="1" applyFill="1"/>
    <xf numFmtId="0" fontId="12" fillId="5" borderId="0" xfId="0" applyFont="1" applyFill="1" applyAlignment="1"/>
    <xf numFmtId="0" fontId="5" fillId="5" borderId="0" xfId="0" applyFont="1" applyFill="1" applyAlignment="1">
      <alignment horizontal="left" vertical="center"/>
    </xf>
    <xf numFmtId="1" fontId="5" fillId="5" borderId="0" xfId="0" applyNumberFormat="1" applyFont="1" applyFill="1" applyAlignment="1">
      <alignment vertical="center"/>
    </xf>
    <xf numFmtId="1" fontId="12" fillId="5" borderId="0" xfId="0" applyNumberFormat="1" applyFont="1" applyFill="1" applyAlignment="1">
      <alignment vertical="center"/>
    </xf>
    <xf numFmtId="1" fontId="11" fillId="5" borderId="0" xfId="0" applyNumberFormat="1" applyFont="1" applyFill="1" applyAlignment="1">
      <alignment vertical="center"/>
    </xf>
    <xf numFmtId="168" fontId="5" fillId="5" borderId="0" xfId="0" applyNumberFormat="1" applyFont="1" applyFill="1" applyAlignment="1"/>
    <xf numFmtId="1" fontId="5" fillId="5" borderId="0" xfId="0" applyNumberFormat="1" applyFont="1" applyFill="1" applyAlignment="1"/>
    <xf numFmtId="1" fontId="7" fillId="5" borderId="0" xfId="0" applyNumberFormat="1" applyFont="1" applyFill="1" applyAlignment="1"/>
    <xf numFmtId="165" fontId="12" fillId="5" borderId="0" xfId="1" applyNumberFormat="1" applyFont="1" applyFill="1" applyAlignment="1"/>
    <xf numFmtId="0" fontId="2" fillId="2" borderId="0" xfId="0" applyFont="1" applyFill="1" applyAlignment="1">
      <alignment horizontal="right"/>
    </xf>
    <xf numFmtId="0" fontId="2" fillId="2" borderId="0" xfId="0" applyFont="1" applyFill="1" applyAlignment="1">
      <alignment horizontal="center"/>
    </xf>
    <xf numFmtId="0" fontId="3" fillId="2" borderId="0" xfId="0" applyFont="1" applyFill="1" applyAlignment="1">
      <alignment horizontal="center"/>
    </xf>
    <xf numFmtId="0" fontId="2" fillId="2" borderId="0" xfId="0" applyFont="1" applyFill="1" applyAlignment="1">
      <alignment horizontal="right" vertical="center"/>
    </xf>
    <xf numFmtId="0" fontId="3" fillId="2" borderId="0" xfId="0" applyFont="1" applyFill="1" applyAlignment="1">
      <alignment horizontal="left" wrapText="1"/>
    </xf>
    <xf numFmtId="0" fontId="3" fillId="2" borderId="0" xfId="0" applyFont="1" applyFill="1" applyAlignment="1">
      <alignment horizontal="center" wrapText="1"/>
    </xf>
    <xf numFmtId="168" fontId="6" fillId="0" borderId="0" xfId="0" applyNumberFormat="1" applyFont="1" applyAlignment="1">
      <alignment vertical="center"/>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cked"/>
        <c:varyColors val="0"/>
        <c:ser>
          <c:idx val="0"/>
          <c:order val="0"/>
          <c:spPr>
            <a:solidFill>
              <a:schemeClr val="accent1"/>
            </a:solidFill>
            <a:ln w="25400">
              <a:noFill/>
            </a:ln>
            <a:effectLst/>
          </c:spPr>
          <c:val>
            <c:numRef>
              <c:f>UG!#REF!</c:f>
              <c:numCache>
                <c:formatCode>General</c:formatCode>
                <c:ptCount val="1"/>
                <c:pt idx="0">
                  <c:v>1</c:v>
                </c:pt>
              </c:numCache>
            </c:numRef>
          </c:val>
          <c:extLst>
            <c:ext xmlns:c15="http://schemas.microsoft.com/office/drawing/2012/chart" uri="{02D57815-91ED-43cb-92C2-25804820EDAC}">
              <c15:filteredSeriesTitle>
                <c15:tx>
                  <c:strRef>
                    <c:extLst xmlns:c16="http://schemas.microsoft.com/office/drawing/2014/chart">
                      <c:ext uri="{02D57815-91ED-43cb-92C2-25804820EDAC}">
                        <c15:formulaRef>
                          <c15:sqref>UG!#REF!</c15:sqref>
                        </c15:formulaRef>
                      </c:ext>
                    </c:extLst>
                    <c:strCache>
                      <c:ptCount val="1"/>
                      <c:pt idx="0">
                        <c:v>#REF!</c:v>
                      </c:pt>
                    </c:strCache>
                  </c:strRef>
                </c15:tx>
              </c15:filteredSeriesTitle>
            </c:ext>
            <c:ext xmlns:c16="http://schemas.microsoft.com/office/drawing/2014/chart" uri="{C3380CC4-5D6E-409C-BE32-E72D297353CC}">
              <c16:uniqueId val="{00000000-F41E-447F-9745-393FC0FCE65D}"/>
            </c:ext>
          </c:extLst>
        </c:ser>
        <c:ser>
          <c:idx val="1"/>
          <c:order val="1"/>
          <c:spPr>
            <a:solidFill>
              <a:schemeClr val="accent2"/>
            </a:solidFill>
            <a:ln w="25400">
              <a:noFill/>
            </a:ln>
            <a:effectLst/>
          </c:spPr>
          <c:val>
            <c:numRef>
              <c:f>UG!#REF!</c:f>
              <c:numCache>
                <c:formatCode>General</c:formatCode>
                <c:ptCount val="1"/>
                <c:pt idx="0">
                  <c:v>1</c:v>
                </c:pt>
              </c:numCache>
            </c:numRef>
          </c:val>
          <c:extLst>
            <c:ext xmlns:c15="http://schemas.microsoft.com/office/drawing/2012/chart" uri="{02D57815-91ED-43cb-92C2-25804820EDAC}">
              <c15:filteredSeriesTitle>
                <c15:tx>
                  <c:strRef>
                    <c:extLst xmlns:c16="http://schemas.microsoft.com/office/drawing/2014/chart">
                      <c:ext uri="{02D57815-91ED-43cb-92C2-25804820EDAC}">
                        <c15:formulaRef>
                          <c15:sqref>UG!#REF!</c15:sqref>
                        </c15:formulaRef>
                      </c:ext>
                    </c:extLst>
                    <c:strCache>
                      <c:ptCount val="1"/>
                      <c:pt idx="0">
                        <c:v>#REF!</c:v>
                      </c:pt>
                    </c:strCache>
                  </c:strRef>
                </c15:tx>
              </c15:filteredSeriesTitle>
            </c:ext>
            <c:ext xmlns:c16="http://schemas.microsoft.com/office/drawing/2014/chart" uri="{C3380CC4-5D6E-409C-BE32-E72D297353CC}">
              <c16:uniqueId val="{00000001-F41E-447F-9745-393FC0FCE65D}"/>
            </c:ext>
          </c:extLst>
        </c:ser>
        <c:ser>
          <c:idx val="2"/>
          <c:order val="2"/>
          <c:spPr>
            <a:solidFill>
              <a:schemeClr val="accent3"/>
            </a:solidFill>
            <a:ln w="25400">
              <a:noFill/>
            </a:ln>
            <a:effectLst/>
          </c:spPr>
          <c:val>
            <c:numRef>
              <c:f>UG!#REF!</c:f>
              <c:numCache>
                <c:formatCode>General</c:formatCode>
                <c:ptCount val="1"/>
                <c:pt idx="0">
                  <c:v>1</c:v>
                </c:pt>
              </c:numCache>
            </c:numRef>
          </c:val>
          <c:extLst>
            <c:ext xmlns:c15="http://schemas.microsoft.com/office/drawing/2012/chart" uri="{02D57815-91ED-43cb-92C2-25804820EDAC}">
              <c15:filteredSeriesTitle>
                <c15:tx>
                  <c:strRef>
                    <c:extLst xmlns:c16="http://schemas.microsoft.com/office/drawing/2014/chart">
                      <c:ext uri="{02D57815-91ED-43cb-92C2-25804820EDAC}">
                        <c15:formulaRef>
                          <c15:sqref>UG!#REF!</c15:sqref>
                        </c15:formulaRef>
                      </c:ext>
                    </c:extLst>
                    <c:strCache>
                      <c:ptCount val="1"/>
                      <c:pt idx="0">
                        <c:v>#REF!</c:v>
                      </c:pt>
                    </c:strCache>
                  </c:strRef>
                </c15:tx>
              </c15:filteredSeriesTitle>
            </c:ext>
            <c:ext xmlns:c16="http://schemas.microsoft.com/office/drawing/2014/chart" uri="{C3380CC4-5D6E-409C-BE32-E72D297353CC}">
              <c16:uniqueId val="{00000002-F41E-447F-9745-393FC0FCE65D}"/>
            </c:ext>
          </c:extLst>
        </c:ser>
        <c:dLbls>
          <c:showLegendKey val="0"/>
          <c:showVal val="0"/>
          <c:showCatName val="0"/>
          <c:showSerName val="0"/>
          <c:showPercent val="0"/>
          <c:showBubbleSize val="0"/>
        </c:dLbls>
        <c:axId val="274852768"/>
        <c:axId val="274853552"/>
      </c:areaChart>
      <c:catAx>
        <c:axId val="274852768"/>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4853552"/>
        <c:crosses val="autoZero"/>
        <c:auto val="1"/>
        <c:lblAlgn val="ctr"/>
        <c:lblOffset val="100"/>
        <c:noMultiLvlLbl val="0"/>
      </c:catAx>
      <c:valAx>
        <c:axId val="2748535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485276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4263</xdr:col>
      <xdr:colOff>585787</xdr:colOff>
      <xdr:row>70</xdr:row>
      <xdr:rowOff>90487</xdr:rowOff>
    </xdr:from>
    <xdr:to>
      <xdr:col>4271</xdr:col>
      <xdr:colOff>280987</xdr:colOff>
      <xdr:row>82</xdr:row>
      <xdr:rowOff>80962</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election activeCell="C12" sqref="C12"/>
    </sheetView>
  </sheetViews>
  <sheetFormatPr defaultRowHeight="14.4" x14ac:dyDescent="0.55000000000000004"/>
  <sheetData>
    <row r="1" spans="1:1" x14ac:dyDescent="0.55000000000000004">
      <c r="A1" s="191" t="s">
        <v>417</v>
      </c>
    </row>
    <row r="3" spans="1:1" x14ac:dyDescent="0.55000000000000004">
      <c r="A3" t="s">
        <v>427</v>
      </c>
    </row>
    <row r="4" spans="1:1" x14ac:dyDescent="0.55000000000000004">
      <c r="A4" t="s">
        <v>418</v>
      </c>
    </row>
    <row r="5" spans="1:1" x14ac:dyDescent="0.55000000000000004">
      <c r="A5" t="s">
        <v>426</v>
      </c>
    </row>
    <row r="6" spans="1:1" x14ac:dyDescent="0.55000000000000004">
      <c r="A6" t="s">
        <v>428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122"/>
  <sheetViews>
    <sheetView tabSelected="1" zoomScaleNormal="100" workbookViewId="0">
      <pane xSplit="3" ySplit="2" topLeftCell="D3" activePane="bottomRight" state="frozen"/>
      <selection pane="topRight" activeCell="D1" sqref="D1"/>
      <selection pane="bottomLeft" activeCell="A3" sqref="A3"/>
      <selection pane="bottomRight" activeCell="F13" sqref="F13"/>
    </sheetView>
  </sheetViews>
  <sheetFormatPr defaultColWidth="9.15625" defaultRowHeight="12.9" x14ac:dyDescent="0.5"/>
  <cols>
    <col min="1" max="1" width="13.578125" style="26" customWidth="1"/>
    <col min="2" max="2" width="16.68359375" style="26" customWidth="1"/>
    <col min="3" max="3" width="40.15625" style="26" customWidth="1"/>
    <col min="4" max="4" width="8.578125" style="26" customWidth="1"/>
    <col min="5" max="12" width="10" style="26" customWidth="1"/>
    <col min="13" max="16" width="10" style="26" bestFit="1" customWidth="1"/>
    <col min="17" max="21" width="10.15625" style="26" bestFit="1" customWidth="1"/>
    <col min="22" max="27" width="10.26171875" style="26" bestFit="1" customWidth="1"/>
    <col min="28" max="56" width="12.41796875" style="26" bestFit="1" customWidth="1"/>
    <col min="57" max="57" width="12.15625" style="26" bestFit="1" customWidth="1"/>
    <col min="58" max="80" width="12.41796875" style="26" bestFit="1" customWidth="1"/>
    <col min="81" max="82" width="12.578125" style="26" bestFit="1" customWidth="1"/>
    <col min="83" max="83" width="9.41796875" style="26" bestFit="1" customWidth="1"/>
    <col min="84" max="84" width="9.26171875" style="26" bestFit="1" customWidth="1"/>
    <col min="85" max="16384" width="9.15625" style="26"/>
  </cols>
  <sheetData>
    <row r="1" spans="1:84" s="227" customFormat="1" ht="15" customHeight="1" x14ac:dyDescent="0.5">
      <c r="B1" s="230" t="s">
        <v>60</v>
      </c>
      <c r="J1" s="228">
        <v>1942</v>
      </c>
      <c r="K1" s="228">
        <v>1943</v>
      </c>
      <c r="L1" s="228">
        <v>1944</v>
      </c>
      <c r="M1" s="228">
        <v>1945</v>
      </c>
      <c r="N1" s="228">
        <v>1946</v>
      </c>
      <c r="O1" s="228">
        <v>1947</v>
      </c>
      <c r="P1" s="228">
        <v>1948</v>
      </c>
      <c r="Q1" s="228">
        <v>1949</v>
      </c>
      <c r="R1" s="228">
        <v>1950</v>
      </c>
      <c r="S1" s="228">
        <v>1951</v>
      </c>
      <c r="T1" s="228">
        <v>1952</v>
      </c>
      <c r="U1" s="228">
        <v>1953</v>
      </c>
      <c r="V1" s="228">
        <v>1954</v>
      </c>
      <c r="W1" s="228" t="s">
        <v>0</v>
      </c>
      <c r="X1" s="228" t="s">
        <v>1</v>
      </c>
      <c r="Y1" s="228" t="s">
        <v>2</v>
      </c>
      <c r="Z1" s="228" t="s">
        <v>3</v>
      </c>
      <c r="AA1" s="228" t="s">
        <v>4</v>
      </c>
      <c r="AB1" s="228" t="s">
        <v>5</v>
      </c>
      <c r="AC1" s="228" t="s">
        <v>6</v>
      </c>
      <c r="AD1" s="228" t="s">
        <v>7</v>
      </c>
      <c r="AE1" s="228" t="s">
        <v>8</v>
      </c>
      <c r="AF1" s="228" t="s">
        <v>9</v>
      </c>
      <c r="AG1" s="228" t="s">
        <v>10</v>
      </c>
      <c r="AH1" s="228" t="s">
        <v>11</v>
      </c>
      <c r="AI1" s="228" t="s">
        <v>12</v>
      </c>
      <c r="AJ1" s="228" t="s">
        <v>13</v>
      </c>
      <c r="AK1" s="228" t="s">
        <v>14</v>
      </c>
      <c r="AL1" s="228" t="s">
        <v>15</v>
      </c>
      <c r="AM1" s="228" t="s">
        <v>16</v>
      </c>
      <c r="AN1" s="228" t="s">
        <v>17</v>
      </c>
      <c r="AO1" s="228" t="s">
        <v>18</v>
      </c>
      <c r="AP1" s="228" t="s">
        <v>19</v>
      </c>
      <c r="AQ1" s="228" t="s">
        <v>20</v>
      </c>
      <c r="AR1" s="228" t="s">
        <v>21</v>
      </c>
      <c r="AS1" s="228" t="s">
        <v>22</v>
      </c>
      <c r="AT1" s="228" t="s">
        <v>23</v>
      </c>
      <c r="AU1" s="228" t="s">
        <v>24</v>
      </c>
      <c r="AV1" s="228" t="s">
        <v>25</v>
      </c>
      <c r="AW1" s="228" t="s">
        <v>26</v>
      </c>
      <c r="AX1" s="228" t="s">
        <v>27</v>
      </c>
      <c r="AY1" s="228" t="s">
        <v>28</v>
      </c>
      <c r="AZ1" s="228" t="s">
        <v>29</v>
      </c>
      <c r="BA1" s="228" t="s">
        <v>30</v>
      </c>
      <c r="BB1" s="228" t="s">
        <v>31</v>
      </c>
      <c r="BC1" s="228" t="s">
        <v>32</v>
      </c>
      <c r="BD1" s="228" t="s">
        <v>33</v>
      </c>
      <c r="BE1" s="228" t="s">
        <v>34</v>
      </c>
      <c r="BF1" s="228" t="s">
        <v>35</v>
      </c>
      <c r="BG1" s="228" t="s">
        <v>36</v>
      </c>
      <c r="BH1" s="228" t="s">
        <v>37</v>
      </c>
      <c r="BI1" s="228" t="s">
        <v>38</v>
      </c>
      <c r="BJ1" s="228" t="s">
        <v>39</v>
      </c>
      <c r="BK1" s="228" t="s">
        <v>40</v>
      </c>
      <c r="BL1" s="228" t="s">
        <v>41</v>
      </c>
      <c r="BM1" s="228" t="s">
        <v>42</v>
      </c>
      <c r="BN1" s="228" t="s">
        <v>43</v>
      </c>
      <c r="BO1" s="228" t="s">
        <v>44</v>
      </c>
      <c r="BP1" s="228" t="s">
        <v>45</v>
      </c>
      <c r="BQ1" s="228" t="s">
        <v>46</v>
      </c>
      <c r="BR1" s="228" t="s">
        <v>47</v>
      </c>
      <c r="BS1" s="228" t="s">
        <v>48</v>
      </c>
      <c r="BT1" s="228" t="s">
        <v>49</v>
      </c>
      <c r="BU1" s="228" t="s">
        <v>50</v>
      </c>
      <c r="BV1" s="228" t="s">
        <v>51</v>
      </c>
      <c r="BW1" s="228" t="s">
        <v>52</v>
      </c>
      <c r="BX1" s="228" t="s">
        <v>53</v>
      </c>
      <c r="BY1" s="228" t="s">
        <v>54</v>
      </c>
      <c r="BZ1" s="228" t="s">
        <v>55</v>
      </c>
      <c r="CA1" s="228" t="s">
        <v>56</v>
      </c>
      <c r="CB1" s="228" t="s">
        <v>57</v>
      </c>
      <c r="CC1" s="228" t="s">
        <v>58</v>
      </c>
      <c r="CD1" s="228" t="s">
        <v>177</v>
      </c>
      <c r="CE1" s="228" t="s">
        <v>415</v>
      </c>
      <c r="CF1" s="228" t="s">
        <v>416</v>
      </c>
    </row>
    <row r="2" spans="1:84" s="1" customFormat="1" x14ac:dyDescent="0.5">
      <c r="A2" s="2" t="s">
        <v>59</v>
      </c>
      <c r="B2" s="230"/>
      <c r="C2" s="2" t="s">
        <v>61</v>
      </c>
      <c r="D2" s="2">
        <v>1936</v>
      </c>
      <c r="E2" s="2">
        <v>1937</v>
      </c>
      <c r="F2" s="2">
        <v>1938</v>
      </c>
      <c r="G2" s="2">
        <v>1939</v>
      </c>
      <c r="H2" s="2">
        <v>1940</v>
      </c>
      <c r="I2" s="2">
        <v>1941</v>
      </c>
      <c r="J2" s="2">
        <v>1942</v>
      </c>
      <c r="K2" s="2">
        <v>1943</v>
      </c>
      <c r="L2" s="2">
        <v>1944</v>
      </c>
      <c r="M2" s="2">
        <v>1945</v>
      </c>
      <c r="N2" s="2">
        <v>1946</v>
      </c>
      <c r="O2" s="2">
        <v>1947</v>
      </c>
      <c r="P2" s="2">
        <v>1948</v>
      </c>
      <c r="Q2" s="2">
        <v>1949</v>
      </c>
      <c r="R2" s="2">
        <v>1950</v>
      </c>
      <c r="S2" s="2">
        <v>1951</v>
      </c>
      <c r="T2" s="2">
        <v>1952</v>
      </c>
      <c r="U2" s="2">
        <v>1953</v>
      </c>
      <c r="V2" s="2">
        <v>1954</v>
      </c>
      <c r="W2" s="2">
        <v>1955</v>
      </c>
      <c r="X2" s="2">
        <v>1956</v>
      </c>
      <c r="Y2" s="2">
        <v>1957</v>
      </c>
      <c r="Z2" s="2">
        <v>1958</v>
      </c>
      <c r="AA2" s="2">
        <v>1959</v>
      </c>
      <c r="AB2" s="2">
        <v>1960</v>
      </c>
      <c r="AC2" s="2">
        <v>1961</v>
      </c>
      <c r="AD2" s="2">
        <v>1962</v>
      </c>
      <c r="AE2" s="2">
        <v>1963</v>
      </c>
      <c r="AF2" s="2">
        <v>1964</v>
      </c>
      <c r="AG2" s="2">
        <v>1965</v>
      </c>
      <c r="AH2" s="2">
        <v>1966</v>
      </c>
      <c r="AI2" s="2">
        <v>1967</v>
      </c>
      <c r="AJ2" s="2">
        <v>1968</v>
      </c>
      <c r="AK2" s="2">
        <v>1969</v>
      </c>
      <c r="AL2" s="2">
        <v>1970</v>
      </c>
      <c r="AM2" s="2">
        <v>1971</v>
      </c>
      <c r="AN2" s="2">
        <v>1972</v>
      </c>
      <c r="AO2" s="2">
        <v>1973</v>
      </c>
      <c r="AP2" s="2">
        <v>1974</v>
      </c>
      <c r="AQ2" s="2">
        <v>1975</v>
      </c>
      <c r="AR2" s="2">
        <v>1976</v>
      </c>
      <c r="AS2" s="2">
        <v>1977</v>
      </c>
      <c r="AT2" s="2">
        <v>1978</v>
      </c>
      <c r="AU2" s="2">
        <v>1979</v>
      </c>
      <c r="AV2" s="2">
        <v>1980</v>
      </c>
      <c r="AW2" s="2">
        <v>1981</v>
      </c>
      <c r="AX2" s="2">
        <v>1982</v>
      </c>
      <c r="AY2" s="2">
        <v>1983</v>
      </c>
      <c r="AZ2" s="2">
        <v>1984</v>
      </c>
      <c r="BA2" s="2">
        <v>1985</v>
      </c>
      <c r="BB2" s="2">
        <v>1986</v>
      </c>
      <c r="BC2" s="2">
        <v>1987</v>
      </c>
      <c r="BD2" s="2">
        <v>1988</v>
      </c>
      <c r="BE2" s="2">
        <v>1989</v>
      </c>
      <c r="BF2" s="2">
        <v>1990</v>
      </c>
      <c r="BG2" s="2">
        <v>1991</v>
      </c>
      <c r="BH2" s="2">
        <v>1992</v>
      </c>
      <c r="BI2" s="2">
        <v>1993</v>
      </c>
      <c r="BJ2" s="2">
        <v>1994</v>
      </c>
      <c r="BK2" s="2">
        <v>1995</v>
      </c>
      <c r="BL2" s="2">
        <v>1996</v>
      </c>
      <c r="BM2" s="2">
        <v>1997</v>
      </c>
      <c r="BN2" s="2">
        <v>1998</v>
      </c>
      <c r="BO2" s="2">
        <v>1999</v>
      </c>
      <c r="BP2" s="2">
        <v>2000</v>
      </c>
      <c r="BQ2" s="2">
        <v>2001</v>
      </c>
      <c r="BR2" s="2">
        <v>2002</v>
      </c>
      <c r="BS2" s="2">
        <v>2003</v>
      </c>
      <c r="BT2" s="2">
        <v>2004</v>
      </c>
      <c r="BU2" s="2">
        <v>2005</v>
      </c>
      <c r="BV2" s="2">
        <v>2006</v>
      </c>
      <c r="BW2" s="2">
        <v>2007</v>
      </c>
      <c r="BX2" s="2">
        <v>2008</v>
      </c>
      <c r="BY2" s="2">
        <v>2009</v>
      </c>
      <c r="BZ2" s="2">
        <v>2010</v>
      </c>
      <c r="CA2" s="2">
        <v>2011</v>
      </c>
      <c r="CB2" s="2">
        <v>2012</v>
      </c>
      <c r="CC2" s="2">
        <v>2013</v>
      </c>
      <c r="CD2" s="2">
        <v>2014</v>
      </c>
      <c r="CE2" s="2">
        <v>2015</v>
      </c>
      <c r="CF2" s="2">
        <v>2016</v>
      </c>
    </row>
    <row r="3" spans="1:84" s="7" customFormat="1" ht="12.75" customHeight="1" x14ac:dyDescent="0.5">
      <c r="A3" s="7" t="s">
        <v>62</v>
      </c>
      <c r="C3" s="8" t="s">
        <v>63</v>
      </c>
      <c r="D3" s="8"/>
      <c r="E3" s="8"/>
      <c r="F3" s="8"/>
      <c r="G3" s="8"/>
      <c r="H3" s="8"/>
      <c r="I3" s="8"/>
      <c r="J3" s="8"/>
      <c r="K3" s="8"/>
      <c r="L3" s="8"/>
      <c r="M3" s="8"/>
      <c r="N3" s="8"/>
      <c r="O3" s="9"/>
      <c r="P3" s="9"/>
      <c r="Q3" s="9"/>
      <c r="R3" s="9"/>
      <c r="S3" s="9"/>
      <c r="T3" s="9"/>
      <c r="U3" s="9"/>
      <c r="V3" s="9"/>
      <c r="W3" s="9"/>
      <c r="X3" s="9"/>
      <c r="Y3" s="9"/>
      <c r="Z3" s="9"/>
      <c r="AA3" s="9"/>
      <c r="AB3" s="9"/>
    </row>
    <row r="4" spans="1:84" s="10" customFormat="1" ht="12.75" customHeight="1" x14ac:dyDescent="0.5">
      <c r="B4" s="10" t="s">
        <v>64</v>
      </c>
      <c r="C4" s="10" t="s">
        <v>63</v>
      </c>
      <c r="D4" s="11">
        <v>4809053.8077135133</v>
      </c>
      <c r="E4" s="11">
        <v>4876380.561021504</v>
      </c>
      <c r="F4" s="11">
        <v>4944649.8888758048</v>
      </c>
      <c r="G4" s="11">
        <v>5013874.9873200664</v>
      </c>
      <c r="H4" s="11">
        <v>5084069.2371425424</v>
      </c>
      <c r="I4" s="11">
        <v>5175582.4834111072</v>
      </c>
      <c r="J4" s="11">
        <v>5268742.968112506</v>
      </c>
      <c r="K4" s="11">
        <v>5363580.3415385308</v>
      </c>
      <c r="L4" s="11">
        <v>5460124.7876862232</v>
      </c>
      <c r="M4" s="11">
        <v>5558407.0338645736</v>
      </c>
      <c r="N4" s="11">
        <v>5658458.3604741348</v>
      </c>
      <c r="O4" s="11">
        <v>5760310.6109626675</v>
      </c>
      <c r="P4" s="11">
        <v>5863996.2019599946</v>
      </c>
      <c r="Q4" s="11">
        <v>5969548.1335952738</v>
      </c>
      <c r="R4" s="11">
        <v>6076999.9999999851</v>
      </c>
      <c r="S4" s="11">
        <v>6255314.7220854471</v>
      </c>
      <c r="T4" s="11">
        <v>6438861.6541614337</v>
      </c>
      <c r="U4" s="11">
        <v>6627794.3226505797</v>
      </c>
      <c r="V4" s="11">
        <v>6822270.7588334084</v>
      </c>
      <c r="W4" s="11">
        <v>7022453.6310323812</v>
      </c>
      <c r="X4" s="11">
        <v>7228510.3806745699</v>
      </c>
      <c r="Y4" s="11">
        <v>7440613.3623467572</v>
      </c>
      <c r="Z4" s="11">
        <v>7658939.9879600927</v>
      </c>
      <c r="AA4" s="11">
        <v>7883672.8751449445</v>
      </c>
      <c r="AB4" s="10">
        <v>8105440</v>
      </c>
      <c r="AC4" s="10">
        <v>8361442</v>
      </c>
      <c r="AD4" s="10">
        <v>8628973</v>
      </c>
      <c r="AE4" s="10">
        <v>8908425</v>
      </c>
      <c r="AF4" s="10">
        <v>9200158</v>
      </c>
      <c r="AG4" s="10">
        <v>9504702</v>
      </c>
      <c r="AH4" s="10">
        <v>9822505</v>
      </c>
      <c r="AI4" s="10">
        <v>10154489</v>
      </c>
      <c r="AJ4" s="10">
        <v>10502250</v>
      </c>
      <c r="AK4" s="10">
        <v>10867717</v>
      </c>
      <c r="AL4" s="10">
        <v>11252466</v>
      </c>
      <c r="AM4" s="10">
        <v>11657479</v>
      </c>
      <c r="AN4" s="10">
        <v>12083165</v>
      </c>
      <c r="AO4" s="10">
        <v>12529810</v>
      </c>
      <c r="AP4" s="10">
        <v>12997447</v>
      </c>
      <c r="AQ4" s="10">
        <v>13486241</v>
      </c>
      <c r="AR4" s="10">
        <v>13995974</v>
      </c>
      <c r="AS4" s="10">
        <v>14527187</v>
      </c>
      <c r="AT4" s="10">
        <v>15081598</v>
      </c>
      <c r="AU4" s="10">
        <v>15661414</v>
      </c>
      <c r="AV4" s="10">
        <v>16267906</v>
      </c>
      <c r="AW4" s="10">
        <v>16901181</v>
      </c>
      <c r="AX4" s="10">
        <v>17559778</v>
      </c>
      <c r="AY4" s="10">
        <v>18241331</v>
      </c>
      <c r="AZ4" s="10">
        <v>18942599</v>
      </c>
      <c r="BA4" s="10">
        <v>19660713</v>
      </c>
      <c r="BB4" s="10">
        <v>20393724</v>
      </c>
      <c r="BC4" s="10">
        <v>21140344</v>
      </c>
      <c r="BD4" s="10">
        <v>21899004</v>
      </c>
      <c r="BE4" s="10">
        <v>22668238</v>
      </c>
      <c r="BF4" s="10">
        <v>23446229</v>
      </c>
      <c r="BG4" s="10">
        <v>24234087</v>
      </c>
      <c r="BH4" s="10">
        <v>25029754</v>
      </c>
      <c r="BI4" s="10">
        <v>25824736</v>
      </c>
      <c r="BJ4" s="10">
        <v>26608089</v>
      </c>
      <c r="BK4" s="10">
        <v>27373035</v>
      </c>
      <c r="BL4" s="10">
        <v>28116027</v>
      </c>
      <c r="BM4" s="10">
        <v>28842245</v>
      </c>
      <c r="BN4" s="10">
        <v>29564614</v>
      </c>
      <c r="BO4" s="10">
        <v>30301240</v>
      </c>
      <c r="BP4" s="10">
        <v>31065820</v>
      </c>
      <c r="BQ4" s="10">
        <v>31863280</v>
      </c>
      <c r="BR4" s="10">
        <v>32691980</v>
      </c>
      <c r="BS4" s="10">
        <v>33551079</v>
      </c>
      <c r="BT4" s="10">
        <v>34437460</v>
      </c>
      <c r="BU4" s="10">
        <v>35349040</v>
      </c>
      <c r="BV4" s="10">
        <v>36286015</v>
      </c>
      <c r="BW4" s="10">
        <v>37250540</v>
      </c>
      <c r="BX4" s="10">
        <v>38244442</v>
      </c>
      <c r="BY4" s="10">
        <v>39269988</v>
      </c>
      <c r="BZ4" s="10">
        <v>40328313</v>
      </c>
      <c r="CA4" s="10">
        <v>41419954</v>
      </c>
      <c r="CB4" s="10">
        <v>42542978</v>
      </c>
      <c r="CC4" s="10">
        <v>43692881</v>
      </c>
      <c r="CD4" s="10">
        <v>44863583</v>
      </c>
    </row>
    <row r="5" spans="1:84" s="10" customFormat="1" ht="12.75" customHeight="1" x14ac:dyDescent="0.5">
      <c r="B5" s="10" t="s">
        <v>65</v>
      </c>
      <c r="C5" s="10" t="s">
        <v>66</v>
      </c>
      <c r="E5" s="12"/>
      <c r="F5" s="12"/>
      <c r="G5" s="12"/>
      <c r="H5" s="12"/>
      <c r="I5" s="12"/>
      <c r="J5" s="12"/>
      <c r="K5" s="12"/>
      <c r="L5" s="12"/>
      <c r="M5" s="12"/>
      <c r="N5" s="12"/>
      <c r="O5" s="13"/>
      <c r="P5" s="13"/>
      <c r="Q5" s="13"/>
      <c r="R5" s="13"/>
      <c r="S5" s="13"/>
      <c r="T5" s="14"/>
      <c r="U5" s="13"/>
      <c r="V5" s="13"/>
      <c r="W5" s="13"/>
      <c r="X5" s="15"/>
      <c r="Y5" s="15"/>
      <c r="Z5" s="15"/>
      <c r="AA5" s="15"/>
      <c r="AE5" s="16"/>
      <c r="AK5" s="17">
        <v>10942705</v>
      </c>
      <c r="AU5" s="17">
        <v>15327061</v>
      </c>
      <c r="BE5" s="17">
        <v>21443636</v>
      </c>
      <c r="BO5" s="17">
        <v>28686607</v>
      </c>
      <c r="BY5" s="17">
        <v>38610097</v>
      </c>
    </row>
    <row r="6" spans="1:84" s="10" customFormat="1" ht="12.75" customHeight="1" x14ac:dyDescent="0.5">
      <c r="B6" s="10" t="s">
        <v>67</v>
      </c>
      <c r="C6" s="10" t="s">
        <v>68</v>
      </c>
      <c r="E6" s="12"/>
      <c r="F6" s="12"/>
      <c r="G6" s="12"/>
      <c r="H6" s="12"/>
      <c r="I6" s="12"/>
      <c r="J6" s="12"/>
      <c r="K6" s="12"/>
      <c r="L6" s="12"/>
      <c r="M6" s="12"/>
      <c r="N6" s="12"/>
      <c r="O6" s="18">
        <v>49.884188890424198</v>
      </c>
      <c r="P6" s="18">
        <v>49.884188890424198</v>
      </c>
      <c r="Q6" s="18">
        <v>49.884188890424198</v>
      </c>
      <c r="R6" s="18">
        <v>49.884188890424198</v>
      </c>
      <c r="S6" s="18">
        <v>49.884188890424198</v>
      </c>
      <c r="T6" s="18">
        <v>49.884188890424198</v>
      </c>
      <c r="U6" s="18">
        <v>49.884188890424198</v>
      </c>
      <c r="V6" s="18">
        <v>49.884188890424198</v>
      </c>
      <c r="W6" s="18">
        <v>49.884188890424198</v>
      </c>
      <c r="X6" s="18">
        <v>49.884188890424198</v>
      </c>
      <c r="Y6" s="18">
        <v>49.884188890424198</v>
      </c>
      <c r="Z6" s="18">
        <v>49.884188890424198</v>
      </c>
      <c r="AA6" s="18">
        <v>49.884188890424198</v>
      </c>
      <c r="AB6" s="19">
        <v>49.884188890424198</v>
      </c>
      <c r="AC6" s="19">
        <v>49.287945787341499</v>
      </c>
      <c r="AD6" s="19">
        <v>48.802447290077303</v>
      </c>
      <c r="AE6" s="19">
        <v>48.428279970926397</v>
      </c>
      <c r="AF6" s="19">
        <v>48.1654119418384</v>
      </c>
      <c r="AG6" s="19">
        <v>48.004798046272299</v>
      </c>
      <c r="AH6" s="19">
        <v>47.7274178022816</v>
      </c>
      <c r="AI6" s="19">
        <v>47.582000433502898</v>
      </c>
      <c r="AJ6" s="19">
        <v>47.5255397652884</v>
      </c>
      <c r="AK6" s="19">
        <v>47.505506446294099</v>
      </c>
      <c r="AL6" s="19">
        <v>47.492674050292599</v>
      </c>
      <c r="AM6" s="19">
        <v>47.352244854998197</v>
      </c>
      <c r="AN6" s="19">
        <v>47.2396180967487</v>
      </c>
      <c r="AO6" s="19">
        <v>47.154609686818901</v>
      </c>
      <c r="AP6" s="19">
        <v>47.107251139396901</v>
      </c>
      <c r="AQ6" s="19">
        <v>47.100174170104196</v>
      </c>
      <c r="AR6" s="19">
        <v>46.981324772395297</v>
      </c>
      <c r="AS6" s="19">
        <v>46.935618024329202</v>
      </c>
      <c r="AT6" s="19">
        <v>46.939289855093598</v>
      </c>
      <c r="AU6" s="19">
        <v>46.965018611984902</v>
      </c>
      <c r="AV6" s="19">
        <v>46.999915047456</v>
      </c>
      <c r="AW6" s="19">
        <v>46.961120645947801</v>
      </c>
      <c r="AX6" s="19">
        <v>46.951726838459997</v>
      </c>
      <c r="AY6" s="19">
        <v>46.9786387846369</v>
      </c>
      <c r="AZ6" s="19">
        <v>47.057069623867299</v>
      </c>
      <c r="BA6" s="19">
        <v>47.194443049954501</v>
      </c>
      <c r="BB6" s="19">
        <v>47.273558277046398</v>
      </c>
      <c r="BC6" s="19">
        <v>47.428878167734602</v>
      </c>
      <c r="BD6" s="19">
        <v>47.654806583897603</v>
      </c>
      <c r="BE6" s="19">
        <v>47.952505174861798</v>
      </c>
      <c r="BF6" s="19">
        <v>48.325050480399199</v>
      </c>
      <c r="BG6" s="19">
        <v>48.685683929417301</v>
      </c>
      <c r="BH6" s="19">
        <v>49.156599781204399</v>
      </c>
      <c r="BI6" s="19">
        <v>49.703420007856003</v>
      </c>
      <c r="BJ6" s="19">
        <v>50.281420059892298</v>
      </c>
      <c r="BK6" s="19">
        <v>50.865379012593998</v>
      </c>
      <c r="BL6" s="19">
        <v>51.2793966231431</v>
      </c>
      <c r="BM6" s="19">
        <v>51.660614491000899</v>
      </c>
      <c r="BN6" s="19">
        <v>52.039323090773301</v>
      </c>
      <c r="BO6" s="19">
        <v>52.449827135787203</v>
      </c>
      <c r="BP6" s="19">
        <v>52.893263400096998</v>
      </c>
      <c r="BQ6" s="19">
        <v>53.176531104142498</v>
      </c>
      <c r="BR6" s="19">
        <v>53.497720235972203</v>
      </c>
      <c r="BS6" s="19">
        <v>53.822903877398403</v>
      </c>
      <c r="BT6" s="19">
        <v>54.109121288271503</v>
      </c>
      <c r="BU6" s="19">
        <v>54.3378207725019</v>
      </c>
      <c r="BV6" s="19">
        <v>54.450884176727598</v>
      </c>
      <c r="BW6" s="19">
        <v>54.5464173136819</v>
      </c>
      <c r="BX6" s="19">
        <v>54.619160086058997</v>
      </c>
      <c r="BY6" s="19">
        <v>54.676601887426102</v>
      </c>
      <c r="BZ6" s="19">
        <v>54.730174307068097</v>
      </c>
      <c r="CA6" s="19">
        <v>54.803332229678503</v>
      </c>
      <c r="CB6" s="19">
        <v>54.885882694906797</v>
      </c>
      <c r="CC6" s="19">
        <v>54.9865297278062</v>
      </c>
      <c r="CD6" s="19">
        <v>55.1182436766141</v>
      </c>
    </row>
    <row r="7" spans="1:84" s="7" customFormat="1" ht="12.75" customHeight="1" x14ac:dyDescent="0.5">
      <c r="A7" s="7" t="s">
        <v>396</v>
      </c>
      <c r="C7" s="8" t="s">
        <v>185</v>
      </c>
      <c r="D7" s="8"/>
      <c r="E7" s="8"/>
      <c r="F7" s="8"/>
      <c r="G7" s="8"/>
      <c r="H7" s="8"/>
      <c r="I7" s="8"/>
      <c r="J7" s="8"/>
      <c r="K7" s="8"/>
      <c r="L7" s="8"/>
      <c r="M7" s="8"/>
      <c r="N7" s="8"/>
      <c r="O7" s="9"/>
      <c r="P7" s="9"/>
      <c r="Q7" s="9"/>
      <c r="R7" s="9"/>
      <c r="S7" s="9"/>
      <c r="T7" s="9"/>
      <c r="U7" s="9"/>
      <c r="V7" s="9"/>
      <c r="W7" s="9"/>
      <c r="X7" s="9"/>
      <c r="Y7" s="9"/>
      <c r="Z7" s="9"/>
      <c r="AA7" s="9"/>
      <c r="AB7" s="9"/>
    </row>
    <row r="8" spans="1:84" s="4" customFormat="1" ht="12.75" customHeight="1" x14ac:dyDescent="0.5">
      <c r="A8" s="10" t="s">
        <v>69</v>
      </c>
      <c r="B8" s="10" t="s">
        <v>397</v>
      </c>
      <c r="C8" s="10" t="s">
        <v>70</v>
      </c>
      <c r="D8" s="13"/>
      <c r="E8" s="13"/>
      <c r="F8" s="13"/>
      <c r="G8" s="13"/>
      <c r="H8" s="13"/>
      <c r="I8" s="13"/>
      <c r="J8" s="13"/>
      <c r="K8" s="13"/>
      <c r="L8" s="13"/>
      <c r="M8" s="13"/>
      <c r="N8" s="13">
        <f>N9+N13</f>
        <v>413.70000000000005</v>
      </c>
      <c r="O8" s="13">
        <f>O9+O13</f>
        <v>424.423</v>
      </c>
      <c r="P8" s="13">
        <f>P9+P13</f>
        <v>419.40000000000003</v>
      </c>
      <c r="Q8" s="13">
        <f>Q9+Q13</f>
        <v>430.09999999999997</v>
      </c>
      <c r="R8" s="13">
        <f>R9+R13</f>
        <v>460.375</v>
      </c>
      <c r="S8" s="13">
        <v>452.1</v>
      </c>
      <c r="T8" s="13">
        <v>475.69999999999993</v>
      </c>
      <c r="U8" s="13">
        <v>498.29999999999995</v>
      </c>
      <c r="V8" s="13">
        <v>542.4</v>
      </c>
      <c r="W8" s="13">
        <v>615.1</v>
      </c>
      <c r="X8" s="13">
        <v>596.70000000000005</v>
      </c>
      <c r="Y8" s="13">
        <v>614.4</v>
      </c>
      <c r="Z8" s="13">
        <v>593.20000000000005</v>
      </c>
      <c r="AA8" s="38">
        <v>596.9</v>
      </c>
      <c r="AB8" s="38">
        <v>622.20000000000005</v>
      </c>
      <c r="AC8" s="38">
        <v>589.79999999999995</v>
      </c>
      <c r="AD8" s="38">
        <v>579.79999999999995</v>
      </c>
      <c r="AE8" s="38">
        <v>535.5</v>
      </c>
      <c r="AF8" s="38">
        <v>574.29999999999995</v>
      </c>
      <c r="AG8" s="38">
        <v>582</v>
      </c>
      <c r="AH8" s="38">
        <v>586.29999999999995</v>
      </c>
      <c r="AI8" s="38">
        <v>600.70000000000005</v>
      </c>
      <c r="AJ8" s="38">
        <v>606.4</v>
      </c>
      <c r="AK8" s="38">
        <v>627.20000000000005</v>
      </c>
      <c r="AL8" s="38">
        <v>644.5</v>
      </c>
      <c r="AM8" s="38">
        <v>691.2</v>
      </c>
      <c r="AN8" s="38">
        <v>719.8</v>
      </c>
      <c r="AO8" s="38">
        <v>761.3</v>
      </c>
      <c r="AP8" s="38">
        <v>826.3</v>
      </c>
      <c r="AQ8" s="38">
        <v>819.09999999999991</v>
      </c>
      <c r="AR8" s="38">
        <v>857.5</v>
      </c>
      <c r="AS8" s="38">
        <v>902.9</v>
      </c>
      <c r="AT8" s="38">
        <v>911.6</v>
      </c>
      <c r="AU8" s="38">
        <v>972.2</v>
      </c>
      <c r="AV8" s="38">
        <v>1005.8</v>
      </c>
      <c r="AW8" s="38">
        <v>1024.3000000000002</v>
      </c>
      <c r="AX8" s="38">
        <v>1047</v>
      </c>
      <c r="AY8" s="38">
        <v>1093.3</v>
      </c>
      <c r="AZ8" s="38">
        <v>1119.7</v>
      </c>
      <c r="BA8" s="38">
        <v>1174.4000000000001</v>
      </c>
      <c r="BB8" s="38">
        <v>1220.5</v>
      </c>
      <c r="BC8" s="38">
        <v>1265</v>
      </c>
      <c r="BD8" s="38">
        <v>1311</v>
      </c>
      <c r="BE8" s="38">
        <v>1368.3</v>
      </c>
      <c r="BF8" s="38">
        <v>1409.3</v>
      </c>
      <c r="BG8" s="38">
        <v>1441.6</v>
      </c>
      <c r="BH8" s="38">
        <v>1461.6999999999998</v>
      </c>
      <c r="BI8" s="38">
        <v>1475.6</v>
      </c>
      <c r="BJ8" s="38">
        <v>1505.2999999999997</v>
      </c>
      <c r="BK8" s="38">
        <v>1556.8999999999999</v>
      </c>
      <c r="BL8" s="38">
        <v>1619</v>
      </c>
      <c r="BM8" s="38">
        <v>1647.1999999999998</v>
      </c>
      <c r="BN8" s="38">
        <v>1664.9</v>
      </c>
      <c r="BO8" s="38">
        <v>1688.7</v>
      </c>
      <c r="BP8" s="38">
        <v>1695.3</v>
      </c>
      <c r="BQ8" s="38">
        <v>1677.1</v>
      </c>
      <c r="BR8" s="38">
        <v>1699.7000000000003</v>
      </c>
      <c r="BS8" s="38">
        <v>1727.3</v>
      </c>
      <c r="BT8" s="38">
        <v>1762.8999999999999</v>
      </c>
      <c r="BU8" s="38">
        <v>1808.6999999999998</v>
      </c>
      <c r="BV8" s="38">
        <v>1859.9</v>
      </c>
      <c r="BW8" s="38">
        <v>1909.8</v>
      </c>
      <c r="BX8" s="38">
        <v>1906.6</v>
      </c>
      <c r="BY8" s="38">
        <v>1960</v>
      </c>
      <c r="BZ8" s="38">
        <v>2016</v>
      </c>
      <c r="CA8" s="38">
        <v>2084.3000000000002</v>
      </c>
      <c r="CB8" s="38">
        <v>2156.1000000000004</v>
      </c>
      <c r="CC8" s="38">
        <v>2283.1999999999998</v>
      </c>
      <c r="CD8" s="38">
        <v>2370.1000000000004</v>
      </c>
    </row>
    <row r="9" spans="1:84" s="4" customFormat="1" ht="12.75" customHeight="1" x14ac:dyDescent="0.5">
      <c r="A9" s="10"/>
      <c r="B9" s="10"/>
      <c r="C9" s="21" t="s">
        <v>71</v>
      </c>
      <c r="D9" s="11"/>
      <c r="E9" s="13"/>
      <c r="F9" s="11"/>
      <c r="G9" s="13"/>
      <c r="H9" s="11"/>
      <c r="I9" s="13"/>
      <c r="J9" s="11"/>
      <c r="K9" s="13"/>
      <c r="L9" s="13"/>
      <c r="M9" s="152"/>
      <c r="N9" s="13">
        <f>N10+N11</f>
        <v>324.10000000000002</v>
      </c>
      <c r="O9" s="13">
        <f>O10+O11</f>
        <v>335.38200000000001</v>
      </c>
      <c r="P9" s="13">
        <f>P10+P11</f>
        <v>325.10400000000004</v>
      </c>
      <c r="Q9" s="13">
        <f>Q10+Q11</f>
        <v>324.94299999999998</v>
      </c>
      <c r="R9" s="13">
        <f>R10+R11</f>
        <v>350.9</v>
      </c>
      <c r="S9" s="13">
        <v>345.3</v>
      </c>
      <c r="T9" s="13">
        <v>360.09999999999997</v>
      </c>
      <c r="U9" s="13">
        <v>363.79999999999995</v>
      </c>
      <c r="V9" s="13">
        <v>393.99999999999994</v>
      </c>
      <c r="W9" s="13">
        <v>439.5</v>
      </c>
      <c r="X9" s="13">
        <v>428.7</v>
      </c>
      <c r="Y9" s="13">
        <v>447.4</v>
      </c>
      <c r="Z9" s="13">
        <v>435.20000000000005</v>
      </c>
      <c r="AA9" s="38">
        <v>436.79999999999995</v>
      </c>
      <c r="AB9" s="38">
        <v>460.8</v>
      </c>
      <c r="AC9" s="38">
        <v>422.8</v>
      </c>
      <c r="AD9" s="38">
        <v>412.8</v>
      </c>
      <c r="AE9" s="38">
        <v>376.1</v>
      </c>
      <c r="AF9" s="38">
        <v>392.3</v>
      </c>
      <c r="AG9" s="38">
        <v>393.8</v>
      </c>
      <c r="AH9" s="38">
        <v>385.9</v>
      </c>
      <c r="AI9" s="38">
        <v>388.6</v>
      </c>
      <c r="AJ9" s="38">
        <v>384.5</v>
      </c>
      <c r="AK9" s="38">
        <v>389.6</v>
      </c>
      <c r="AL9" s="38">
        <v>396.5</v>
      </c>
      <c r="AM9" s="38">
        <v>423.7</v>
      </c>
      <c r="AN9" s="38">
        <v>432.8</v>
      </c>
      <c r="AO9" s="38">
        <v>462.4</v>
      </c>
      <c r="AP9" s="38">
        <v>496.2</v>
      </c>
      <c r="AQ9" s="38">
        <v>476.7</v>
      </c>
      <c r="AR9" s="38">
        <v>501.1</v>
      </c>
      <c r="AS9" s="38">
        <v>526.5</v>
      </c>
      <c r="AT9" s="38">
        <v>521.6</v>
      </c>
      <c r="AU9" s="38">
        <v>547.5</v>
      </c>
      <c r="AV9" s="38">
        <v>534.29999999999995</v>
      </c>
      <c r="AW9" s="38">
        <v>540.20000000000005</v>
      </c>
      <c r="AX9" s="38">
        <v>540.4</v>
      </c>
      <c r="AY9" s="38">
        <v>565.5</v>
      </c>
      <c r="AZ9" s="38">
        <v>578.20000000000005</v>
      </c>
      <c r="BA9" s="38">
        <v>599.79999999999995</v>
      </c>
      <c r="BB9" s="38">
        <v>620.70000000000005</v>
      </c>
      <c r="BC9" s="38">
        <v>640</v>
      </c>
      <c r="BD9" s="38">
        <v>650</v>
      </c>
      <c r="BE9" s="38">
        <v>682.8</v>
      </c>
      <c r="BF9" s="38">
        <v>708.9</v>
      </c>
      <c r="BG9" s="38">
        <v>726.6</v>
      </c>
      <c r="BH9" s="38">
        <v>768</v>
      </c>
      <c r="BI9" s="38">
        <v>790</v>
      </c>
      <c r="BJ9" s="38">
        <v>817</v>
      </c>
      <c r="BK9" s="38">
        <v>867</v>
      </c>
      <c r="BL9" s="38">
        <v>918</v>
      </c>
      <c r="BM9" s="38">
        <v>947</v>
      </c>
      <c r="BN9" s="38">
        <v>967</v>
      </c>
      <c r="BO9" s="38">
        <v>989.9</v>
      </c>
      <c r="BP9" s="38">
        <v>1002.8</v>
      </c>
      <c r="BQ9" s="38">
        <v>1018.7</v>
      </c>
      <c r="BR9" s="38">
        <v>1040.9000000000001</v>
      </c>
      <c r="BS9" s="38">
        <v>1068.5999999999999</v>
      </c>
      <c r="BT9" s="38">
        <v>1105.5</v>
      </c>
      <c r="BU9" s="38">
        <v>1154.5</v>
      </c>
      <c r="BV9" s="38">
        <v>1209.9000000000001</v>
      </c>
      <c r="BW9" s="38">
        <v>1281.7</v>
      </c>
      <c r="BX9" s="38">
        <v>1310</v>
      </c>
      <c r="BY9" s="38">
        <v>1347</v>
      </c>
      <c r="BZ9" s="38">
        <v>1396</v>
      </c>
      <c r="CA9" s="38">
        <v>1441</v>
      </c>
      <c r="CB9" s="38">
        <v>1494</v>
      </c>
      <c r="CC9" s="38">
        <v>1600</v>
      </c>
      <c r="CD9" s="38">
        <v>1669.4</v>
      </c>
    </row>
    <row r="10" spans="1:84" s="4" customFormat="1" ht="12.75" customHeight="1" x14ac:dyDescent="0.5">
      <c r="A10" s="10"/>
      <c r="B10" s="10"/>
      <c r="C10" s="23" t="s">
        <v>72</v>
      </c>
      <c r="D10" s="13">
        <v>185.4</v>
      </c>
      <c r="E10" s="13"/>
      <c r="F10" s="11"/>
      <c r="G10" s="13"/>
      <c r="H10" s="11"/>
      <c r="I10" s="13">
        <v>277</v>
      </c>
      <c r="J10" s="13">
        <v>274.95399999999995</v>
      </c>
      <c r="K10" s="13">
        <v>306.14600000000002</v>
      </c>
      <c r="L10" s="13">
        <v>308.11200000000002</v>
      </c>
      <c r="M10" s="13">
        <v>304.21300000000002</v>
      </c>
      <c r="N10" s="13">
        <v>298.10000000000002</v>
      </c>
      <c r="O10" s="13">
        <v>306.38200000000001</v>
      </c>
      <c r="P10" s="13">
        <v>299.10400000000004</v>
      </c>
      <c r="Q10" s="13">
        <v>302.24299999999999</v>
      </c>
      <c r="R10" s="13">
        <v>325.7</v>
      </c>
      <c r="S10" s="13">
        <v>319</v>
      </c>
      <c r="T10" s="13">
        <v>333</v>
      </c>
      <c r="U10" s="13">
        <v>335</v>
      </c>
      <c r="V10" s="13">
        <v>362.4</v>
      </c>
      <c r="W10" s="13">
        <v>439.5</v>
      </c>
      <c r="X10" s="13">
        <v>428.7</v>
      </c>
      <c r="Y10" s="13"/>
      <c r="Z10" s="13"/>
      <c r="AA10" s="38">
        <v>397.4</v>
      </c>
      <c r="AB10" s="38">
        <v>420.20000000000005</v>
      </c>
      <c r="AC10" s="38">
        <v>383.9</v>
      </c>
      <c r="AD10" s="38">
        <v>376.6</v>
      </c>
      <c r="AE10" s="38">
        <v>339.4</v>
      </c>
      <c r="AF10" s="38">
        <v>354</v>
      </c>
      <c r="AG10" s="38">
        <v>354.7</v>
      </c>
      <c r="AH10" s="38">
        <v>344.5</v>
      </c>
      <c r="AI10" s="38">
        <v>349</v>
      </c>
      <c r="AJ10" s="38">
        <v>348.4</v>
      </c>
      <c r="AK10" s="38">
        <v>356.5</v>
      </c>
      <c r="AL10" s="38">
        <v>364.7</v>
      </c>
      <c r="AM10" s="38">
        <v>393.4</v>
      </c>
      <c r="AN10" s="38">
        <v>404.9</v>
      </c>
      <c r="AO10" s="38">
        <v>440.20000000000005</v>
      </c>
      <c r="AP10" s="38">
        <v>473.2</v>
      </c>
      <c r="AQ10" s="38">
        <v>454.65</v>
      </c>
      <c r="AR10" s="38">
        <v>479.8</v>
      </c>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row>
    <row r="11" spans="1:84" s="4" customFormat="1" ht="12.75" customHeight="1" x14ac:dyDescent="0.5">
      <c r="A11" s="10"/>
      <c r="B11" s="10"/>
      <c r="C11" s="23" t="s">
        <v>73</v>
      </c>
      <c r="D11" s="11"/>
      <c r="E11" s="13"/>
      <c r="F11" s="11"/>
      <c r="G11" s="13"/>
      <c r="H11" s="11"/>
      <c r="I11" s="13"/>
      <c r="J11" s="11"/>
      <c r="K11" s="13"/>
      <c r="L11" s="13"/>
      <c r="M11" s="13"/>
      <c r="N11" s="13">
        <v>26</v>
      </c>
      <c r="O11" s="13">
        <v>29</v>
      </c>
      <c r="P11" s="13">
        <v>26</v>
      </c>
      <c r="Q11" s="13">
        <v>22.7</v>
      </c>
      <c r="R11" s="13">
        <v>25.2</v>
      </c>
      <c r="S11" s="13"/>
      <c r="T11" s="13"/>
      <c r="U11" s="13"/>
      <c r="V11" s="13"/>
      <c r="W11" s="13"/>
      <c r="X11" s="13"/>
      <c r="Y11" s="13"/>
      <c r="Z11" s="13"/>
      <c r="AA11" s="38">
        <v>39.399999999999977</v>
      </c>
      <c r="AB11" s="38">
        <v>40.599999999999966</v>
      </c>
      <c r="AC11" s="38">
        <v>38.799999999999983</v>
      </c>
      <c r="AD11" s="38">
        <v>36.200000000000017</v>
      </c>
      <c r="AE11" s="38">
        <v>36.700000000000003</v>
      </c>
      <c r="AF11" s="38">
        <v>38.300000000000011</v>
      </c>
      <c r="AG11" s="38">
        <v>39.100000000000023</v>
      </c>
      <c r="AH11" s="38">
        <v>41.400000000000006</v>
      </c>
      <c r="AI11" s="38">
        <v>39.599999999999994</v>
      </c>
      <c r="AJ11" s="38">
        <v>38.400000000000006</v>
      </c>
      <c r="AK11" s="38">
        <v>33.100000000000023</v>
      </c>
      <c r="AL11" s="38">
        <v>31.800000000000011</v>
      </c>
      <c r="AM11" s="38">
        <v>30.300000000000011</v>
      </c>
      <c r="AN11" s="38">
        <v>27.900000000000034</v>
      </c>
      <c r="AO11" s="38">
        <v>22.199999999999932</v>
      </c>
      <c r="AP11" s="38">
        <v>22.8</v>
      </c>
      <c r="AQ11" s="39">
        <v>22.05</v>
      </c>
      <c r="AR11" s="13">
        <v>21.3</v>
      </c>
      <c r="AS11" s="39">
        <v>21.700000000000003</v>
      </c>
      <c r="AT11" s="39">
        <v>20.700000000000003</v>
      </c>
      <c r="AU11" s="39">
        <v>19.700000000000003</v>
      </c>
      <c r="AV11" s="39">
        <v>19.200000000000003</v>
      </c>
      <c r="AW11" s="39">
        <v>17.400000000000002</v>
      </c>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row>
    <row r="12" spans="1:84" s="4" customFormat="1" ht="12.75" customHeight="1" x14ac:dyDescent="0.5">
      <c r="A12" s="10"/>
      <c r="B12" s="10"/>
      <c r="C12" s="23" t="s">
        <v>74</v>
      </c>
      <c r="D12" s="11"/>
      <c r="E12" s="13"/>
      <c r="F12" s="11"/>
      <c r="G12" s="13"/>
      <c r="H12" s="11"/>
      <c r="I12" s="13"/>
      <c r="J12" s="11"/>
      <c r="K12" s="13"/>
      <c r="L12" s="13"/>
      <c r="M12" s="13"/>
      <c r="N12" s="13"/>
      <c r="O12" s="13"/>
      <c r="P12" s="13"/>
      <c r="Q12" s="13"/>
      <c r="R12" s="13"/>
      <c r="S12" s="13"/>
      <c r="T12" s="13"/>
      <c r="U12" s="13"/>
      <c r="V12" s="13"/>
      <c r="W12" s="13"/>
      <c r="X12" s="13"/>
      <c r="Y12" s="13"/>
      <c r="Z12" s="13"/>
      <c r="AA12" s="38"/>
      <c r="AB12" s="38"/>
      <c r="AC12" s="38"/>
      <c r="AD12" s="38"/>
      <c r="AE12" s="38"/>
      <c r="AF12" s="38"/>
      <c r="AG12" s="38"/>
      <c r="AH12" s="38"/>
      <c r="AI12" s="38"/>
      <c r="AJ12" s="38"/>
      <c r="AK12" s="38"/>
      <c r="AL12" s="38"/>
      <c r="AM12" s="38"/>
      <c r="AN12" s="38"/>
      <c r="AO12" s="38"/>
      <c r="AP12" s="38">
        <v>12.5</v>
      </c>
      <c r="AQ12" s="38">
        <v>12.1</v>
      </c>
      <c r="AR12" s="38">
        <v>12.6</v>
      </c>
      <c r="AS12" s="38">
        <v>13</v>
      </c>
      <c r="AT12" s="39">
        <v>12</v>
      </c>
      <c r="AU12" s="39">
        <v>11</v>
      </c>
      <c r="AV12" s="38">
        <v>10.5</v>
      </c>
      <c r="AW12" s="38">
        <v>8.6999999999999993</v>
      </c>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row>
    <row r="13" spans="1:84" s="4" customFormat="1" ht="12.75" customHeight="1" x14ac:dyDescent="0.5">
      <c r="A13" s="10"/>
      <c r="B13" s="10"/>
      <c r="C13" s="21" t="s">
        <v>75</v>
      </c>
      <c r="D13" s="11"/>
      <c r="E13" s="13"/>
      <c r="F13" s="11"/>
      <c r="G13" s="13"/>
      <c r="H13" s="11"/>
      <c r="I13" s="13">
        <f>I14+I15</f>
        <v>62.439</v>
      </c>
      <c r="J13" s="13">
        <f t="shared" ref="J13:AR13" si="0">J14+J15</f>
        <v>78.445999999999998</v>
      </c>
      <c r="K13" s="13">
        <f t="shared" si="0"/>
        <v>78.353999999999999</v>
      </c>
      <c r="L13" s="13">
        <f t="shared" si="0"/>
        <v>75.988</v>
      </c>
      <c r="M13" s="13">
        <f t="shared" si="0"/>
        <v>81.087000000000003</v>
      </c>
      <c r="N13" s="13">
        <f t="shared" si="0"/>
        <v>89.600000000000009</v>
      </c>
      <c r="O13" s="13">
        <f t="shared" si="0"/>
        <v>89.040999999999997</v>
      </c>
      <c r="P13" s="13">
        <f t="shared" si="0"/>
        <v>94.295999999999992</v>
      </c>
      <c r="Q13" s="13">
        <f t="shared" si="0"/>
        <v>105.157</v>
      </c>
      <c r="R13" s="13">
        <f t="shared" si="0"/>
        <v>109.47499999999999</v>
      </c>
      <c r="S13" s="13">
        <f t="shared" si="0"/>
        <v>106.80000000000001</v>
      </c>
      <c r="T13" s="13">
        <f t="shared" si="0"/>
        <v>115.6</v>
      </c>
      <c r="U13" s="13">
        <f t="shared" si="0"/>
        <v>134.5</v>
      </c>
      <c r="V13" s="13">
        <f t="shared" si="0"/>
        <v>148.4</v>
      </c>
      <c r="W13" s="13">
        <f t="shared" si="0"/>
        <v>175.6</v>
      </c>
      <c r="X13" s="13">
        <f t="shared" si="0"/>
        <v>168</v>
      </c>
      <c r="Y13" s="13">
        <f t="shared" si="0"/>
        <v>167</v>
      </c>
      <c r="Z13" s="13">
        <f t="shared" si="0"/>
        <v>158</v>
      </c>
      <c r="AA13" s="13">
        <f t="shared" si="0"/>
        <v>160.1</v>
      </c>
      <c r="AB13" s="13">
        <f t="shared" si="0"/>
        <v>161.4</v>
      </c>
      <c r="AC13" s="13">
        <f t="shared" si="0"/>
        <v>167</v>
      </c>
      <c r="AD13" s="13">
        <f t="shared" si="0"/>
        <v>167</v>
      </c>
      <c r="AE13" s="13">
        <f t="shared" si="0"/>
        <v>159.4</v>
      </c>
      <c r="AF13" s="13">
        <f t="shared" si="0"/>
        <v>182</v>
      </c>
      <c r="AG13" s="13">
        <f t="shared" si="0"/>
        <v>188.2</v>
      </c>
      <c r="AH13" s="13">
        <f t="shared" si="0"/>
        <v>200.4</v>
      </c>
      <c r="AI13" s="13">
        <f t="shared" si="0"/>
        <v>212.1</v>
      </c>
      <c r="AJ13" s="13">
        <f t="shared" si="0"/>
        <v>221.9</v>
      </c>
      <c r="AK13" s="13">
        <f t="shared" si="0"/>
        <v>237.6</v>
      </c>
      <c r="AL13" s="13">
        <f t="shared" si="0"/>
        <v>248</v>
      </c>
      <c r="AM13" s="13">
        <f t="shared" si="0"/>
        <v>267.5</v>
      </c>
      <c r="AN13" s="13">
        <f t="shared" si="0"/>
        <v>287</v>
      </c>
      <c r="AO13" s="13">
        <f t="shared" si="0"/>
        <v>298.89999999999998</v>
      </c>
      <c r="AP13" s="13">
        <f t="shared" si="0"/>
        <v>330.1</v>
      </c>
      <c r="AQ13" s="13">
        <f t="shared" si="0"/>
        <v>342.4</v>
      </c>
      <c r="AR13" s="13">
        <f t="shared" si="0"/>
        <v>356.4</v>
      </c>
      <c r="AS13" s="38">
        <f>AS18</f>
        <v>376.4</v>
      </c>
      <c r="AT13" s="38">
        <f t="shared" ref="AT13:CD13" si="1">AT18</f>
        <v>390</v>
      </c>
      <c r="AU13" s="38">
        <f t="shared" si="1"/>
        <v>424.69999999999993</v>
      </c>
      <c r="AV13" s="38">
        <f t="shared" si="1"/>
        <v>471.5</v>
      </c>
      <c r="AW13" s="38">
        <f t="shared" si="1"/>
        <v>484.1</v>
      </c>
      <c r="AX13" s="38">
        <f t="shared" si="1"/>
        <v>497.59999999999997</v>
      </c>
      <c r="AY13" s="38">
        <f t="shared" si="1"/>
        <v>527.80000000000007</v>
      </c>
      <c r="AZ13" s="38">
        <f t="shared" si="1"/>
        <v>541.5</v>
      </c>
      <c r="BA13" s="38">
        <f t="shared" si="1"/>
        <v>574.6</v>
      </c>
      <c r="BB13" s="38">
        <f t="shared" si="1"/>
        <v>599.80000000000007</v>
      </c>
      <c r="BC13" s="38">
        <f t="shared" si="1"/>
        <v>624.6</v>
      </c>
      <c r="BD13" s="38">
        <f t="shared" si="1"/>
        <v>661</v>
      </c>
      <c r="BE13" s="38">
        <f t="shared" si="1"/>
        <v>685.5</v>
      </c>
      <c r="BF13" s="38">
        <f t="shared" si="1"/>
        <v>700.1</v>
      </c>
      <c r="BG13" s="38">
        <f t="shared" si="1"/>
        <v>714.99999999999989</v>
      </c>
      <c r="BH13" s="38">
        <f t="shared" si="1"/>
        <v>693.69999999999993</v>
      </c>
      <c r="BI13" s="38">
        <f t="shared" si="1"/>
        <v>685.6</v>
      </c>
      <c r="BJ13" s="38">
        <f t="shared" si="1"/>
        <v>688.3</v>
      </c>
      <c r="BK13" s="38">
        <f t="shared" si="1"/>
        <v>689.9</v>
      </c>
      <c r="BL13" s="38">
        <f t="shared" si="1"/>
        <v>700.99999999999989</v>
      </c>
      <c r="BM13" s="38">
        <f t="shared" si="1"/>
        <v>700.2</v>
      </c>
      <c r="BN13" s="38">
        <f t="shared" si="1"/>
        <v>697.9</v>
      </c>
      <c r="BO13" s="38">
        <v>698.8</v>
      </c>
      <c r="BP13" s="38">
        <f t="shared" si="1"/>
        <v>692.5</v>
      </c>
      <c r="BQ13" s="38">
        <f t="shared" si="1"/>
        <v>658.4</v>
      </c>
      <c r="BR13" s="38">
        <f t="shared" si="1"/>
        <v>658.80000000000007</v>
      </c>
      <c r="BS13" s="38">
        <f t="shared" si="1"/>
        <v>659.1</v>
      </c>
      <c r="BT13" s="38">
        <f t="shared" si="1"/>
        <v>658.2</v>
      </c>
      <c r="BU13" s="38">
        <f t="shared" si="1"/>
        <v>654.19999999999993</v>
      </c>
      <c r="BV13" s="38">
        <f t="shared" si="1"/>
        <v>650</v>
      </c>
      <c r="BW13" s="38">
        <f t="shared" si="1"/>
        <v>628.20000000000005</v>
      </c>
      <c r="BX13" s="38">
        <f t="shared" si="1"/>
        <v>596.60000000000014</v>
      </c>
      <c r="BY13" s="38">
        <f t="shared" si="1"/>
        <v>612</v>
      </c>
      <c r="BZ13" s="38">
        <f t="shared" si="1"/>
        <v>619.79999999999995</v>
      </c>
      <c r="CA13" s="38">
        <f t="shared" si="1"/>
        <v>643.29999999999995</v>
      </c>
      <c r="CB13" s="38">
        <f t="shared" si="1"/>
        <v>662.10000000000014</v>
      </c>
      <c r="CC13" s="38">
        <f t="shared" si="1"/>
        <v>683.2</v>
      </c>
      <c r="CD13" s="38">
        <f t="shared" si="1"/>
        <v>700.7</v>
      </c>
    </row>
    <row r="14" spans="1:84" ht="12.75" customHeight="1" x14ac:dyDescent="0.5">
      <c r="A14" s="25"/>
      <c r="B14" s="25"/>
      <c r="C14" s="23" t="s">
        <v>76</v>
      </c>
      <c r="D14" s="153">
        <v>28.3</v>
      </c>
      <c r="E14" s="153"/>
      <c r="F14" s="153"/>
      <c r="G14" s="56"/>
      <c r="H14" s="56"/>
      <c r="I14" s="56">
        <v>56.439</v>
      </c>
      <c r="J14" s="56">
        <v>72.445999999999998</v>
      </c>
      <c r="K14" s="56">
        <v>72.353999999999999</v>
      </c>
      <c r="L14" s="56">
        <v>69.988</v>
      </c>
      <c r="M14" s="56">
        <v>75.087000000000003</v>
      </c>
      <c r="N14" s="56">
        <v>78.7</v>
      </c>
      <c r="O14" s="56">
        <v>82.617999999999995</v>
      </c>
      <c r="P14" s="56">
        <v>86.495999999999995</v>
      </c>
      <c r="Q14" s="56">
        <v>92.656999999999996</v>
      </c>
      <c r="R14" s="56">
        <v>96.474999999999994</v>
      </c>
      <c r="S14" s="56">
        <v>93.4</v>
      </c>
      <c r="T14" s="56">
        <v>101.6</v>
      </c>
      <c r="U14" s="56">
        <v>118</v>
      </c>
      <c r="V14" s="56">
        <v>130.5</v>
      </c>
      <c r="W14" s="56">
        <v>155</v>
      </c>
      <c r="X14" s="56">
        <v>148.69999999999999</v>
      </c>
      <c r="Y14" s="56">
        <v>146.9</v>
      </c>
      <c r="Z14" s="56">
        <v>137.9</v>
      </c>
      <c r="AA14" s="56">
        <v>140</v>
      </c>
      <c r="AB14" s="56">
        <v>140.69999999999999</v>
      </c>
      <c r="AC14" s="56">
        <v>145.9</v>
      </c>
      <c r="AD14" s="56">
        <v>147.19999999999999</v>
      </c>
      <c r="AE14" s="56">
        <v>141.6</v>
      </c>
      <c r="AF14" s="56">
        <v>168.2</v>
      </c>
      <c r="AG14" s="56">
        <v>173.3</v>
      </c>
      <c r="AH14" s="56">
        <v>184.5</v>
      </c>
      <c r="AI14" s="56">
        <v>198.3</v>
      </c>
      <c r="AJ14" s="56">
        <v>208.8</v>
      </c>
      <c r="AK14" s="56">
        <v>225.5</v>
      </c>
      <c r="AL14" s="56">
        <v>236</v>
      </c>
      <c r="AM14" s="56">
        <v>256.89999999999998</v>
      </c>
      <c r="AN14" s="56">
        <v>276.60000000000002</v>
      </c>
      <c r="AO14" s="56">
        <v>291.8</v>
      </c>
      <c r="AP14" s="56">
        <v>324.39999999999998</v>
      </c>
      <c r="AQ14" s="56">
        <v>336.9</v>
      </c>
      <c r="AR14" s="56">
        <v>351.09999999999997</v>
      </c>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row>
    <row r="15" spans="1:84" ht="12.75" customHeight="1" x14ac:dyDescent="0.5">
      <c r="A15" s="25"/>
      <c r="B15" s="25"/>
      <c r="C15" s="23" t="s">
        <v>77</v>
      </c>
      <c r="D15" s="153"/>
      <c r="E15" s="153"/>
      <c r="F15" s="153"/>
      <c r="G15" s="56"/>
      <c r="H15" s="56"/>
      <c r="I15" s="56">
        <v>6</v>
      </c>
      <c r="J15" s="56">
        <v>6</v>
      </c>
      <c r="K15" s="56">
        <v>6</v>
      </c>
      <c r="L15" s="56">
        <v>6</v>
      </c>
      <c r="M15" s="56">
        <v>6</v>
      </c>
      <c r="N15" s="56">
        <v>10.9</v>
      </c>
      <c r="O15" s="56">
        <v>6.423</v>
      </c>
      <c r="P15" s="56">
        <v>7.8</v>
      </c>
      <c r="Q15" s="56">
        <v>12.5</v>
      </c>
      <c r="R15" s="56">
        <v>13</v>
      </c>
      <c r="S15" s="56">
        <v>13.399999999999999</v>
      </c>
      <c r="T15" s="56">
        <v>14</v>
      </c>
      <c r="U15" s="56">
        <v>16.5</v>
      </c>
      <c r="V15" s="56">
        <v>17.899999999999999</v>
      </c>
      <c r="W15" s="56">
        <v>20.6</v>
      </c>
      <c r="X15" s="56">
        <v>19.3</v>
      </c>
      <c r="Y15" s="56">
        <v>20.100000000000001</v>
      </c>
      <c r="Z15" s="56">
        <v>20.100000000000001</v>
      </c>
      <c r="AA15" s="56">
        <v>20.099999999999994</v>
      </c>
      <c r="AB15" s="56">
        <v>20.700000000000017</v>
      </c>
      <c r="AC15" s="56">
        <v>21.099999999999994</v>
      </c>
      <c r="AD15" s="56">
        <v>19.800000000000011</v>
      </c>
      <c r="AE15" s="56">
        <v>17.800000000000011</v>
      </c>
      <c r="AF15" s="56">
        <v>13.800000000000011</v>
      </c>
      <c r="AG15" s="56">
        <v>14.899999999999977</v>
      </c>
      <c r="AH15" s="56">
        <v>15.900000000000006</v>
      </c>
      <c r="AI15" s="56">
        <v>13.799999999999983</v>
      </c>
      <c r="AJ15" s="56">
        <v>13.099999999999994</v>
      </c>
      <c r="AK15" s="56">
        <v>12.099999999999994</v>
      </c>
      <c r="AL15" s="56">
        <v>12</v>
      </c>
      <c r="AM15" s="56">
        <v>10.600000000000023</v>
      </c>
      <c r="AN15" s="56">
        <v>10.399999999999977</v>
      </c>
      <c r="AO15" s="56">
        <v>7.0999999999999659</v>
      </c>
      <c r="AP15" s="56">
        <v>5.7000000000000455</v>
      </c>
      <c r="AQ15" s="56">
        <v>5.5000000000000231</v>
      </c>
      <c r="AR15" s="56">
        <v>5.3</v>
      </c>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row>
    <row r="16" spans="1:84" ht="12.75" customHeight="1" x14ac:dyDescent="0.5">
      <c r="C16" s="28" t="s">
        <v>78</v>
      </c>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v>6</v>
      </c>
      <c r="AQ16" s="56">
        <v>6</v>
      </c>
      <c r="AR16" s="56">
        <v>5.2</v>
      </c>
      <c r="AS16" s="56">
        <v>5.4</v>
      </c>
      <c r="AT16" s="56"/>
      <c r="AU16" s="56"/>
      <c r="AV16" s="56">
        <v>2.1</v>
      </c>
      <c r="AW16" s="56">
        <v>2.8</v>
      </c>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row>
    <row r="17" spans="1:82" s="7" customFormat="1" ht="12.75" customHeight="1" x14ac:dyDescent="0.5">
      <c r="A17" s="7" t="s">
        <v>62</v>
      </c>
      <c r="C17" s="8" t="s">
        <v>402</v>
      </c>
      <c r="D17" s="8"/>
      <c r="E17" s="8"/>
      <c r="F17" s="8"/>
      <c r="G17" s="8"/>
      <c r="H17" s="8"/>
      <c r="I17" s="8"/>
      <c r="J17" s="8"/>
      <c r="K17" s="8"/>
      <c r="L17" s="8"/>
      <c r="M17" s="8"/>
      <c r="N17" s="8"/>
      <c r="O17" s="9"/>
      <c r="P17" s="9"/>
      <c r="Q17" s="9"/>
      <c r="R17" s="9"/>
      <c r="S17" s="9"/>
      <c r="T17" s="9"/>
      <c r="U17" s="9"/>
      <c r="V17" s="9"/>
      <c r="W17" s="9"/>
      <c r="X17" s="9"/>
      <c r="Y17" s="9"/>
      <c r="Z17" s="9"/>
      <c r="AA17" s="9"/>
      <c r="AB17" s="9"/>
    </row>
    <row r="18" spans="1:82" ht="12.75" customHeight="1" x14ac:dyDescent="0.5">
      <c r="A18" s="10" t="s">
        <v>69</v>
      </c>
      <c r="B18" s="10" t="s">
        <v>397</v>
      </c>
      <c r="C18" s="26" t="s">
        <v>79</v>
      </c>
      <c r="D18" s="56"/>
      <c r="E18" s="56"/>
      <c r="F18" s="56"/>
      <c r="G18" s="56"/>
      <c r="H18" s="56"/>
      <c r="I18" s="56"/>
      <c r="J18" s="56"/>
      <c r="K18" s="56"/>
      <c r="L18" s="56"/>
      <c r="M18" s="56"/>
      <c r="N18" s="56"/>
      <c r="O18" s="56">
        <v>93.980999999999995</v>
      </c>
      <c r="P18" s="56">
        <v>100.25000000000001</v>
      </c>
      <c r="Q18" s="56">
        <v>105.157</v>
      </c>
      <c r="R18" s="56">
        <v>109.47499999999999</v>
      </c>
      <c r="S18" s="56">
        <v>106.80000000000001</v>
      </c>
      <c r="T18" s="56">
        <v>115.6</v>
      </c>
      <c r="U18" s="56">
        <v>134.5</v>
      </c>
      <c r="V18" s="56">
        <v>148.4</v>
      </c>
      <c r="W18" s="154">
        <v>175.5</v>
      </c>
      <c r="X18" s="154">
        <v>168.10000000000002</v>
      </c>
      <c r="Y18" s="154">
        <v>167.1</v>
      </c>
      <c r="Z18" s="56">
        <v>157.6</v>
      </c>
      <c r="AA18" s="56">
        <v>157.6</v>
      </c>
      <c r="AB18" s="56">
        <v>160.1</v>
      </c>
      <c r="AC18" s="56">
        <v>167</v>
      </c>
      <c r="AD18" s="56">
        <v>168.49999999999997</v>
      </c>
      <c r="AE18" s="56">
        <v>159.39999999999998</v>
      </c>
      <c r="AF18" s="56">
        <v>182.1</v>
      </c>
      <c r="AG18" s="56">
        <v>188.2</v>
      </c>
      <c r="AH18" s="56">
        <v>200.5</v>
      </c>
      <c r="AI18" s="56">
        <v>211.99999999999997</v>
      </c>
      <c r="AJ18" s="56">
        <v>221.9</v>
      </c>
      <c r="AK18" s="56">
        <v>237.6</v>
      </c>
      <c r="AL18" s="56">
        <v>247.49999999999997</v>
      </c>
      <c r="AM18" s="56">
        <v>267.5</v>
      </c>
      <c r="AN18" s="56">
        <v>287</v>
      </c>
      <c r="AO18" s="56">
        <v>299.10000000000002</v>
      </c>
      <c r="AP18" s="56">
        <v>330.1</v>
      </c>
      <c r="AQ18" s="56">
        <v>342.49999999999994</v>
      </c>
      <c r="AR18" s="56">
        <v>356.40000000000003</v>
      </c>
      <c r="AS18" s="56">
        <v>376.4</v>
      </c>
      <c r="AT18" s="56">
        <v>390</v>
      </c>
      <c r="AU18" s="56">
        <v>424.69999999999993</v>
      </c>
      <c r="AV18" s="56">
        <v>471.5</v>
      </c>
      <c r="AW18" s="56">
        <v>484.1</v>
      </c>
      <c r="AX18" s="56">
        <v>497.59999999999997</v>
      </c>
      <c r="AY18" s="56">
        <v>527.80000000000007</v>
      </c>
      <c r="AZ18" s="56">
        <v>541.5</v>
      </c>
      <c r="BA18" s="56">
        <v>574.6</v>
      </c>
      <c r="BB18" s="56">
        <v>599.80000000000007</v>
      </c>
      <c r="BC18" s="56">
        <v>624.6</v>
      </c>
      <c r="BD18" s="56">
        <v>661</v>
      </c>
      <c r="BE18" s="56">
        <v>685.5</v>
      </c>
      <c r="BF18" s="56">
        <v>700.1</v>
      </c>
      <c r="BG18" s="56">
        <v>714.99999999999989</v>
      </c>
      <c r="BH18" s="56">
        <v>693.69999999999993</v>
      </c>
      <c r="BI18" s="56">
        <v>685.6</v>
      </c>
      <c r="BJ18" s="56">
        <v>688.3</v>
      </c>
      <c r="BK18" s="56">
        <v>689.9</v>
      </c>
      <c r="BL18" s="56">
        <v>700.99999999999989</v>
      </c>
      <c r="BM18" s="56">
        <v>700.2</v>
      </c>
      <c r="BN18" s="56">
        <v>697.9</v>
      </c>
      <c r="BO18" s="56">
        <v>699</v>
      </c>
      <c r="BP18" s="56">
        <v>692.5</v>
      </c>
      <c r="BQ18" s="56">
        <v>658.4</v>
      </c>
      <c r="BR18" s="56">
        <v>658.80000000000007</v>
      </c>
      <c r="BS18" s="56">
        <v>659.1</v>
      </c>
      <c r="BT18" s="56">
        <v>658.2</v>
      </c>
      <c r="BU18" s="56">
        <v>654.19999999999993</v>
      </c>
      <c r="BV18" s="56">
        <v>650</v>
      </c>
      <c r="BW18" s="56">
        <v>628.20000000000005</v>
      </c>
      <c r="BX18" s="56">
        <v>596.60000000000014</v>
      </c>
      <c r="BY18" s="56">
        <v>612</v>
      </c>
      <c r="BZ18" s="56">
        <v>619.79999999999995</v>
      </c>
      <c r="CA18" s="56">
        <v>643.29999999999995</v>
      </c>
      <c r="CB18" s="56">
        <v>662.10000000000014</v>
      </c>
      <c r="CC18" s="56">
        <v>683.2</v>
      </c>
      <c r="CD18" s="56">
        <v>700.7</v>
      </c>
    </row>
    <row r="19" spans="1:82" ht="12.75" customHeight="1" x14ac:dyDescent="0.5">
      <c r="C19" s="29" t="s">
        <v>80</v>
      </c>
      <c r="D19" s="56"/>
      <c r="E19" s="56"/>
      <c r="F19" s="56"/>
      <c r="G19" s="56"/>
      <c r="H19" s="56"/>
      <c r="I19" s="56"/>
      <c r="J19" s="56"/>
      <c r="K19" s="56"/>
      <c r="L19" s="56"/>
      <c r="M19" s="56"/>
      <c r="N19" s="56"/>
      <c r="O19" s="154">
        <v>70.180999999999997</v>
      </c>
      <c r="P19" s="154">
        <v>73.950000000000017</v>
      </c>
      <c r="Q19" s="155">
        <v>78.112487426935303</v>
      </c>
      <c r="R19" s="155">
        <v>81.885073737106154</v>
      </c>
      <c r="S19" s="155">
        <v>80.435519260456928</v>
      </c>
      <c r="T19" s="155">
        <v>87.65988090417018</v>
      </c>
      <c r="U19" s="155">
        <v>102.68609225816209</v>
      </c>
      <c r="V19" s="155">
        <v>114.06428714538441</v>
      </c>
      <c r="W19" s="56">
        <v>135.80000000000001</v>
      </c>
      <c r="X19" s="56">
        <v>129.4</v>
      </c>
      <c r="Y19" s="56">
        <v>128.19999999999999</v>
      </c>
      <c r="Z19" s="56">
        <v>123.39999999999999</v>
      </c>
      <c r="AA19" s="56">
        <v>123.39999999999999</v>
      </c>
      <c r="AB19" s="56">
        <v>128.5</v>
      </c>
      <c r="AC19" s="56">
        <v>137.30000000000001</v>
      </c>
      <c r="AD19" s="56">
        <v>138.29999999999998</v>
      </c>
      <c r="AE19" s="56">
        <v>123.8</v>
      </c>
      <c r="AF19" s="56">
        <v>144.19999999999999</v>
      </c>
      <c r="AG19" s="56">
        <v>147.79999999999998</v>
      </c>
      <c r="AH19" s="56">
        <v>156.9</v>
      </c>
      <c r="AI19" s="56">
        <v>157.69999999999999</v>
      </c>
      <c r="AJ19" s="56">
        <v>165.1</v>
      </c>
      <c r="AK19" s="56">
        <v>179.2</v>
      </c>
      <c r="AL19" s="56">
        <v>180.09999999999997</v>
      </c>
      <c r="AM19" s="56">
        <v>196.14</v>
      </c>
      <c r="AN19" s="56">
        <v>209.4</v>
      </c>
      <c r="AO19" s="56">
        <v>218.3</v>
      </c>
      <c r="AP19" s="56">
        <v>240.87</v>
      </c>
      <c r="AQ19" s="56">
        <v>248.17999999999998</v>
      </c>
      <c r="AR19" s="56">
        <v>260.35000000000002</v>
      </c>
      <c r="AS19" s="56">
        <v>270.10999999999996</v>
      </c>
      <c r="AT19" s="56">
        <v>279.29000000000002</v>
      </c>
      <c r="AU19" s="56">
        <v>313.02999999999997</v>
      </c>
      <c r="AV19" s="56">
        <v>350.9</v>
      </c>
      <c r="AW19" s="56">
        <v>365.1</v>
      </c>
      <c r="AX19" s="56">
        <v>377</v>
      </c>
      <c r="AY19" s="56">
        <v>395.70000000000005</v>
      </c>
      <c r="AZ19" s="56">
        <v>411</v>
      </c>
      <c r="BA19" s="56">
        <v>448.6</v>
      </c>
      <c r="BB19" s="56">
        <v>467</v>
      </c>
      <c r="BC19" s="56">
        <v>490.9</v>
      </c>
      <c r="BD19" s="56">
        <v>506.20000000000005</v>
      </c>
      <c r="BE19" s="56">
        <v>527.1</v>
      </c>
      <c r="BF19" s="56">
        <v>529</v>
      </c>
      <c r="BG19" s="56">
        <v>544.9</v>
      </c>
      <c r="BH19" s="56">
        <v>528.4</v>
      </c>
      <c r="BI19" s="56">
        <v>529</v>
      </c>
      <c r="BJ19" s="56">
        <v>528.29999999999995</v>
      </c>
      <c r="BK19" s="56">
        <v>528.20000000000005</v>
      </c>
      <c r="BL19" s="56">
        <v>532.79999999999995</v>
      </c>
      <c r="BM19" s="56">
        <v>534.9</v>
      </c>
      <c r="BN19" s="56">
        <v>539.1</v>
      </c>
      <c r="BO19" s="56">
        <v>545</v>
      </c>
      <c r="BP19" s="56">
        <v>540.40000000000009</v>
      </c>
      <c r="BQ19" s="56">
        <v>509.3</v>
      </c>
      <c r="BR19" s="56">
        <v>513.1</v>
      </c>
      <c r="BS19" s="56">
        <v>515.40000000000009</v>
      </c>
      <c r="BT19" s="56">
        <v>516.1</v>
      </c>
      <c r="BU19" s="56">
        <v>509.8</v>
      </c>
      <c r="BV19" s="56">
        <v>506</v>
      </c>
      <c r="BW19" s="56">
        <v>508.80000000000007</v>
      </c>
      <c r="BX19" s="56">
        <v>474.5</v>
      </c>
      <c r="BY19" s="56">
        <v>487</v>
      </c>
      <c r="BZ19" s="56">
        <v>494.2</v>
      </c>
      <c r="CA19" s="56">
        <v>515.9</v>
      </c>
      <c r="CB19" s="56">
        <v>527.90000000000009</v>
      </c>
      <c r="CC19" s="56">
        <v>546.20000000000005</v>
      </c>
      <c r="CD19" s="56">
        <v>562.20000000000005</v>
      </c>
    </row>
    <row r="20" spans="1:82" ht="12.75" customHeight="1" x14ac:dyDescent="0.5">
      <c r="C20" s="28" t="s">
        <v>81</v>
      </c>
      <c r="D20" s="56"/>
      <c r="E20" s="56"/>
      <c r="F20" s="56"/>
      <c r="G20" s="56"/>
      <c r="H20" s="56"/>
      <c r="I20" s="56"/>
      <c r="J20" s="56"/>
      <c r="K20" s="56"/>
      <c r="L20" s="56"/>
      <c r="M20" s="56"/>
      <c r="N20" s="56"/>
      <c r="O20" s="154">
        <v>61.680999999999997</v>
      </c>
      <c r="P20" s="154">
        <v>65.300000000000011</v>
      </c>
      <c r="Q20" s="155"/>
      <c r="R20" s="155"/>
      <c r="S20" s="155"/>
      <c r="T20" s="155"/>
      <c r="U20" s="155"/>
      <c r="V20" s="155"/>
      <c r="W20" s="56">
        <v>113</v>
      </c>
      <c r="X20" s="56">
        <v>106.2</v>
      </c>
      <c r="Y20" s="56">
        <v>105.19999999999999</v>
      </c>
      <c r="Z20" s="56">
        <v>99.1</v>
      </c>
      <c r="AA20" s="56">
        <v>99.1</v>
      </c>
      <c r="AB20" s="56">
        <v>103.1</v>
      </c>
      <c r="AC20" s="56">
        <v>111.10000000000001</v>
      </c>
      <c r="AD20" s="56">
        <v>96.199999999999989</v>
      </c>
      <c r="AE20" s="56">
        <v>83.3</v>
      </c>
      <c r="AF20" s="56">
        <v>88.7</v>
      </c>
      <c r="AG20" s="56">
        <v>88.399999999999991</v>
      </c>
      <c r="AH20" s="56">
        <v>96.7</v>
      </c>
      <c r="AI20" s="56">
        <v>97.9</v>
      </c>
      <c r="AJ20" s="56">
        <v>102</v>
      </c>
      <c r="AK20" s="56">
        <v>111.89999999999999</v>
      </c>
      <c r="AL20" s="56">
        <v>114.69999999999999</v>
      </c>
      <c r="AM20" s="56">
        <v>128.79999999999998</v>
      </c>
      <c r="AN20" s="56">
        <v>136.69999999999999</v>
      </c>
      <c r="AO20" s="56">
        <v>139.5</v>
      </c>
      <c r="AP20" s="56">
        <v>143.69999999999999</v>
      </c>
      <c r="AQ20" s="56">
        <v>146.1</v>
      </c>
      <c r="AR20" s="56">
        <v>157.5</v>
      </c>
      <c r="AS20" s="56">
        <v>157.29999999999998</v>
      </c>
      <c r="AT20" s="56">
        <v>168.9</v>
      </c>
      <c r="AU20" s="56">
        <v>197.4</v>
      </c>
      <c r="AV20" s="56">
        <v>214.9</v>
      </c>
      <c r="AW20" s="56">
        <v>214.5</v>
      </c>
      <c r="AX20" s="56">
        <v>216.7</v>
      </c>
      <c r="AY20" s="56">
        <v>226.4</v>
      </c>
      <c r="AZ20" s="56">
        <v>231.1</v>
      </c>
      <c r="BA20" s="56">
        <v>252</v>
      </c>
      <c r="BB20" s="56">
        <v>259.7</v>
      </c>
      <c r="BC20" s="56">
        <v>274.39999999999998</v>
      </c>
      <c r="BD20" s="56">
        <v>270.5</v>
      </c>
      <c r="BE20" s="56">
        <v>277.60000000000002</v>
      </c>
      <c r="BF20" s="56">
        <v>273.7</v>
      </c>
      <c r="BG20" s="56">
        <v>273.7</v>
      </c>
      <c r="BH20" s="56">
        <v>269</v>
      </c>
      <c r="BI20" s="56">
        <v>267.7</v>
      </c>
      <c r="BJ20" s="56">
        <v>256.2</v>
      </c>
      <c r="BK20" s="56">
        <v>241.4</v>
      </c>
      <c r="BL20" s="56">
        <v>228</v>
      </c>
      <c r="BM20" s="56">
        <v>219</v>
      </c>
      <c r="BN20" s="56">
        <v>214</v>
      </c>
      <c r="BO20" s="56">
        <v>224</v>
      </c>
      <c r="BP20" s="56">
        <v>222.9</v>
      </c>
      <c r="BQ20" s="56">
        <v>195.7</v>
      </c>
      <c r="BR20" s="56">
        <v>194.9</v>
      </c>
      <c r="BS20" s="56">
        <v>195</v>
      </c>
      <c r="BT20" s="56">
        <v>194.2</v>
      </c>
      <c r="BU20" s="56">
        <v>189.5</v>
      </c>
      <c r="BV20" s="56">
        <v>187.7</v>
      </c>
      <c r="BW20" s="56">
        <v>192.3</v>
      </c>
      <c r="BX20" s="56">
        <v>196.8</v>
      </c>
      <c r="BY20" s="56">
        <v>200.6</v>
      </c>
      <c r="BZ20" s="56">
        <v>212</v>
      </c>
      <c r="CA20" s="56">
        <v>219.9</v>
      </c>
      <c r="CB20" s="56">
        <v>222.6</v>
      </c>
      <c r="CC20" s="56">
        <v>179</v>
      </c>
      <c r="CD20" s="56">
        <v>180.9</v>
      </c>
    </row>
    <row r="21" spans="1:82" ht="12.75" customHeight="1" x14ac:dyDescent="0.5">
      <c r="C21" s="28" t="s">
        <v>82</v>
      </c>
      <c r="D21" s="56"/>
      <c r="E21" s="56"/>
      <c r="F21" s="56"/>
      <c r="G21" s="56"/>
      <c r="H21" s="56"/>
      <c r="I21" s="56"/>
      <c r="J21" s="56"/>
      <c r="K21" s="56"/>
      <c r="L21" s="56"/>
      <c r="M21" s="56"/>
      <c r="N21" s="56"/>
      <c r="O21" s="154">
        <v>8.5</v>
      </c>
      <c r="P21" s="154">
        <v>8.65</v>
      </c>
      <c r="Q21" s="155"/>
      <c r="R21" s="155"/>
      <c r="S21" s="155"/>
      <c r="T21" s="155"/>
      <c r="U21" s="155"/>
      <c r="V21" s="155"/>
      <c r="W21" s="56">
        <v>22.8</v>
      </c>
      <c r="X21" s="56">
        <v>23.2</v>
      </c>
      <c r="Y21" s="56">
        <v>23</v>
      </c>
      <c r="Z21" s="56">
        <v>24.3</v>
      </c>
      <c r="AA21" s="56">
        <v>24.3</v>
      </c>
      <c r="AB21" s="56">
        <v>25.4</v>
      </c>
      <c r="AC21" s="56">
        <v>26.2</v>
      </c>
      <c r="AD21" s="56">
        <v>42.1</v>
      </c>
      <c r="AE21" s="56">
        <v>40.5</v>
      </c>
      <c r="AF21" s="56">
        <v>55.5</v>
      </c>
      <c r="AG21" s="56">
        <v>59.4</v>
      </c>
      <c r="AH21" s="56">
        <v>60.2</v>
      </c>
      <c r="AI21" s="56">
        <v>59.8</v>
      </c>
      <c r="AJ21" s="56">
        <v>63.1</v>
      </c>
      <c r="AK21" s="56">
        <v>67.3</v>
      </c>
      <c r="AL21" s="56">
        <v>23.7</v>
      </c>
      <c r="AM21" s="56">
        <v>23.8</v>
      </c>
      <c r="AN21" s="56">
        <v>25.8</v>
      </c>
      <c r="AO21" s="56">
        <v>27</v>
      </c>
      <c r="AP21" s="56">
        <v>27.8</v>
      </c>
      <c r="AQ21" s="56">
        <v>26.2</v>
      </c>
      <c r="AR21" s="56">
        <v>25.5</v>
      </c>
      <c r="AS21" s="56">
        <v>32.1</v>
      </c>
      <c r="AT21" s="56">
        <v>32.9</v>
      </c>
      <c r="AU21" s="56">
        <v>33.799999999999997</v>
      </c>
      <c r="AV21" s="56">
        <v>39.6</v>
      </c>
      <c r="AW21" s="56">
        <v>39.700000000000003</v>
      </c>
      <c r="AX21" s="56">
        <v>41.3</v>
      </c>
      <c r="AY21" s="56">
        <v>45.2</v>
      </c>
      <c r="AZ21" s="56">
        <v>47.7</v>
      </c>
      <c r="BA21" s="56">
        <v>45.6</v>
      </c>
      <c r="BB21" s="56">
        <v>43.3</v>
      </c>
      <c r="BC21" s="56">
        <v>43.5</v>
      </c>
      <c r="BD21" s="56">
        <v>50.6</v>
      </c>
      <c r="BE21" s="56">
        <v>54.4</v>
      </c>
      <c r="BF21" s="56">
        <v>51.7</v>
      </c>
      <c r="BG21" s="56">
        <v>52.1</v>
      </c>
      <c r="BH21" s="56">
        <v>50.8</v>
      </c>
      <c r="BI21" s="56">
        <v>49.4</v>
      </c>
      <c r="BJ21" s="56">
        <v>57.9</v>
      </c>
      <c r="BK21" s="56">
        <v>67.8</v>
      </c>
      <c r="BL21" s="56">
        <v>71.8</v>
      </c>
      <c r="BM21" s="56">
        <v>74.900000000000006</v>
      </c>
      <c r="BN21" s="56">
        <v>77.099999999999994</v>
      </c>
      <c r="BO21" s="56">
        <v>78.8</v>
      </c>
      <c r="BP21" s="56">
        <v>80.7</v>
      </c>
      <c r="BQ21" s="56">
        <v>82.3</v>
      </c>
      <c r="BR21" s="56">
        <v>83.9</v>
      </c>
      <c r="BS21" s="56">
        <v>85.6</v>
      </c>
      <c r="BT21" s="56">
        <v>87.4</v>
      </c>
      <c r="BU21" s="56">
        <v>87.5</v>
      </c>
      <c r="BV21" s="56">
        <v>85</v>
      </c>
      <c r="BW21" s="56">
        <v>81.900000000000006</v>
      </c>
      <c r="BX21" s="56">
        <v>40.9</v>
      </c>
      <c r="BY21" s="56">
        <v>41</v>
      </c>
      <c r="BZ21" s="56">
        <v>39.200000000000003</v>
      </c>
      <c r="CA21" s="56">
        <v>37.299999999999997</v>
      </c>
      <c r="CB21" s="56">
        <v>37.700000000000003</v>
      </c>
      <c r="CC21" s="56">
        <v>94.7</v>
      </c>
      <c r="CD21" s="56">
        <v>99.6</v>
      </c>
    </row>
    <row r="22" spans="1:82" ht="12.75" customHeight="1" x14ac:dyDescent="0.5">
      <c r="C22" s="28" t="s">
        <v>83</v>
      </c>
      <c r="D22" s="56"/>
      <c r="E22" s="56"/>
      <c r="F22" s="56"/>
      <c r="G22" s="56"/>
      <c r="H22" s="56"/>
      <c r="I22" s="56"/>
      <c r="J22" s="56"/>
      <c r="K22" s="56"/>
      <c r="L22" s="56"/>
      <c r="M22" s="56"/>
      <c r="N22" s="56"/>
      <c r="O22" s="154"/>
      <c r="P22" s="154"/>
      <c r="Q22" s="155"/>
      <c r="R22" s="155"/>
      <c r="S22" s="155"/>
      <c r="T22" s="155"/>
      <c r="U22" s="155"/>
      <c r="V22" s="155"/>
      <c r="W22" s="56"/>
      <c r="X22" s="56"/>
      <c r="Y22" s="56"/>
      <c r="Z22" s="56"/>
      <c r="AA22" s="56"/>
      <c r="AB22" s="56"/>
      <c r="AC22" s="56"/>
      <c r="AD22" s="56"/>
      <c r="AE22" s="56"/>
      <c r="AF22" s="56"/>
      <c r="AG22" s="56"/>
      <c r="AH22" s="56"/>
      <c r="AI22" s="56"/>
      <c r="AJ22" s="56"/>
      <c r="AK22" s="56"/>
      <c r="AL22" s="155">
        <v>41.7</v>
      </c>
      <c r="AM22" s="155">
        <v>43.54</v>
      </c>
      <c r="AN22" s="155">
        <v>46.9</v>
      </c>
      <c r="AO22" s="155">
        <v>51.8</v>
      </c>
      <c r="AP22" s="155">
        <v>69.36999999999999</v>
      </c>
      <c r="AQ22" s="155">
        <v>75.88</v>
      </c>
      <c r="AR22" s="155">
        <v>77.349999999999994</v>
      </c>
      <c r="AS22" s="155">
        <v>80.709999999999994</v>
      </c>
      <c r="AT22" s="155">
        <v>77.489999999999995</v>
      </c>
      <c r="AU22" s="155">
        <v>81.83</v>
      </c>
      <c r="AV22" s="56">
        <v>96.4</v>
      </c>
      <c r="AW22" s="56">
        <v>110.9</v>
      </c>
      <c r="AX22" s="56">
        <v>119</v>
      </c>
      <c r="AY22" s="56">
        <v>124.1</v>
      </c>
      <c r="AZ22" s="56">
        <v>132.19999999999999</v>
      </c>
      <c r="BA22" s="56">
        <v>151</v>
      </c>
      <c r="BB22" s="56">
        <v>164</v>
      </c>
      <c r="BC22" s="56">
        <v>173</v>
      </c>
      <c r="BD22" s="56">
        <v>185.1</v>
      </c>
      <c r="BE22" s="56">
        <v>195.1</v>
      </c>
      <c r="BF22" s="56">
        <v>203.6</v>
      </c>
      <c r="BG22" s="56">
        <v>219.1</v>
      </c>
      <c r="BH22" s="56">
        <v>208.6</v>
      </c>
      <c r="BI22" s="56">
        <v>211.9</v>
      </c>
      <c r="BJ22" s="56">
        <v>214.2</v>
      </c>
      <c r="BK22" s="56">
        <v>219</v>
      </c>
      <c r="BL22" s="56">
        <v>233</v>
      </c>
      <c r="BM22" s="56">
        <v>241</v>
      </c>
      <c r="BN22" s="56">
        <v>248</v>
      </c>
      <c r="BO22" s="56">
        <v>242.3</v>
      </c>
      <c r="BP22" s="56">
        <v>236.8</v>
      </c>
      <c r="BQ22" s="56">
        <v>231.3</v>
      </c>
      <c r="BR22" s="56">
        <v>234.3</v>
      </c>
      <c r="BS22" s="56">
        <v>234.8</v>
      </c>
      <c r="BT22" s="56">
        <v>234.5</v>
      </c>
      <c r="BU22" s="56">
        <v>232.8</v>
      </c>
      <c r="BV22" s="56">
        <v>233.3</v>
      </c>
      <c r="BW22" s="56">
        <v>234.6</v>
      </c>
      <c r="BX22" s="56">
        <v>236.8</v>
      </c>
      <c r="BY22" s="56">
        <v>245.4</v>
      </c>
      <c r="BZ22" s="56">
        <v>243</v>
      </c>
      <c r="CA22" s="56">
        <v>258.7</v>
      </c>
      <c r="CB22" s="56">
        <v>267.60000000000002</v>
      </c>
      <c r="CC22" s="56">
        <v>272.5</v>
      </c>
      <c r="CD22" s="56">
        <v>281.7</v>
      </c>
    </row>
    <row r="23" spans="1:82" ht="12.75" customHeight="1" x14ac:dyDescent="0.5">
      <c r="C23" s="28" t="s">
        <v>84</v>
      </c>
      <c r="D23" s="56"/>
      <c r="E23" s="56"/>
      <c r="F23" s="56"/>
      <c r="G23" s="56"/>
      <c r="H23" s="56"/>
      <c r="I23" s="56"/>
      <c r="J23" s="56"/>
      <c r="K23" s="56"/>
      <c r="L23" s="56"/>
      <c r="M23" s="56"/>
      <c r="N23" s="56"/>
      <c r="O23" s="154">
        <v>23.8</v>
      </c>
      <c r="P23" s="154">
        <v>26.299999999999997</v>
      </c>
      <c r="Q23" s="155">
        <v>27.044512573064694</v>
      </c>
      <c r="R23" s="155">
        <v>27.58992626289384</v>
      </c>
      <c r="S23" s="155">
        <v>26.364480739543083</v>
      </c>
      <c r="T23" s="155">
        <v>27.940119095829814</v>
      </c>
      <c r="U23" s="155">
        <v>31.813907741837909</v>
      </c>
      <c r="V23" s="155">
        <v>34.335712854615593</v>
      </c>
      <c r="W23" s="56">
        <v>39.700000000000003</v>
      </c>
      <c r="X23" s="56">
        <v>38.700000000000003</v>
      </c>
      <c r="Y23" s="56">
        <v>38.900000000000006</v>
      </c>
      <c r="Z23" s="56">
        <v>34.199999999999996</v>
      </c>
      <c r="AA23" s="56">
        <v>34.199999999999996</v>
      </c>
      <c r="AB23" s="56">
        <v>31.6</v>
      </c>
      <c r="AC23" s="56">
        <v>29.700000000000003</v>
      </c>
      <c r="AD23" s="56">
        <v>30.199999999999996</v>
      </c>
      <c r="AE23" s="56">
        <v>35.599999999999994</v>
      </c>
      <c r="AF23" s="56">
        <v>37.9</v>
      </c>
      <c r="AG23" s="56">
        <v>40.400000000000006</v>
      </c>
      <c r="AH23" s="56">
        <v>43.599999999999994</v>
      </c>
      <c r="AI23" s="56">
        <v>54.29999999999999</v>
      </c>
      <c r="AJ23" s="56">
        <v>56.800000000000004</v>
      </c>
      <c r="AK23" s="56">
        <v>58.400000000000006</v>
      </c>
      <c r="AL23" s="56">
        <v>61.099999999999994</v>
      </c>
      <c r="AM23" s="56">
        <v>64.759999999999991</v>
      </c>
      <c r="AN23" s="56">
        <v>70.199999999999989</v>
      </c>
      <c r="AO23" s="56">
        <v>70.8</v>
      </c>
      <c r="AP23" s="56">
        <v>76.63000000000001</v>
      </c>
      <c r="AQ23" s="56">
        <v>79.019999999999982</v>
      </c>
      <c r="AR23" s="56">
        <v>84.25</v>
      </c>
      <c r="AS23" s="56">
        <v>89.29</v>
      </c>
      <c r="AT23" s="56">
        <v>90.51</v>
      </c>
      <c r="AU23" s="56">
        <v>88.27</v>
      </c>
      <c r="AV23" s="56">
        <v>90.6</v>
      </c>
      <c r="AW23" s="56">
        <v>87.4</v>
      </c>
      <c r="AX23" s="56">
        <v>87.699999999999989</v>
      </c>
      <c r="AY23" s="56">
        <v>97.6</v>
      </c>
      <c r="AZ23" s="56">
        <v>95.4</v>
      </c>
      <c r="BA23" s="56">
        <v>90.4</v>
      </c>
      <c r="BB23" s="56">
        <v>94.100000000000023</v>
      </c>
      <c r="BC23" s="56">
        <v>94.5</v>
      </c>
      <c r="BD23" s="56">
        <v>109.4</v>
      </c>
      <c r="BE23" s="56">
        <v>107.9</v>
      </c>
      <c r="BF23" s="56">
        <v>117.1</v>
      </c>
      <c r="BG23" s="56">
        <v>117.29999999999998</v>
      </c>
      <c r="BH23" s="56">
        <v>115.29999999999998</v>
      </c>
      <c r="BI23" s="56">
        <v>107.70000000000002</v>
      </c>
      <c r="BJ23" s="56">
        <v>109.69999999999999</v>
      </c>
      <c r="BK23" s="56">
        <v>111.39999999999998</v>
      </c>
      <c r="BL23" s="56">
        <v>114.30000000000001</v>
      </c>
      <c r="BM23" s="56">
        <v>112.80000000000001</v>
      </c>
      <c r="BN23" s="56">
        <v>108.89999999999998</v>
      </c>
      <c r="BO23" s="56">
        <v>105.19999999999999</v>
      </c>
      <c r="BP23" s="56">
        <v>104.09999999999997</v>
      </c>
      <c r="BQ23" s="56">
        <v>101.59999999999997</v>
      </c>
      <c r="BR23" s="56">
        <v>99</v>
      </c>
      <c r="BS23" s="56">
        <v>97.300000000000011</v>
      </c>
      <c r="BT23" s="56">
        <v>96</v>
      </c>
      <c r="BU23" s="56">
        <v>97.5</v>
      </c>
      <c r="BV23" s="56">
        <v>97.199999999999989</v>
      </c>
      <c r="BW23" s="56">
        <v>80.599999999999994</v>
      </c>
      <c r="BX23" s="56">
        <v>82.400000000000034</v>
      </c>
      <c r="BY23" s="56">
        <v>84.4</v>
      </c>
      <c r="BZ23" s="56">
        <v>84.800000000000011</v>
      </c>
      <c r="CA23" s="56">
        <v>86</v>
      </c>
      <c r="CB23" s="56">
        <v>90.600000000000023</v>
      </c>
      <c r="CC23" s="56">
        <v>92.5</v>
      </c>
      <c r="CD23" s="56">
        <v>93.5</v>
      </c>
    </row>
    <row r="24" spans="1:82" ht="12.75" customHeight="1" x14ac:dyDescent="0.5">
      <c r="C24" s="28" t="s">
        <v>85</v>
      </c>
      <c r="D24" s="56"/>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L24" s="56">
        <v>6.3</v>
      </c>
      <c r="AM24" s="56">
        <v>6.6</v>
      </c>
      <c r="AN24" s="56">
        <v>7.4</v>
      </c>
      <c r="AO24" s="56">
        <v>10</v>
      </c>
      <c r="AP24" s="56">
        <v>12.6</v>
      </c>
      <c r="AQ24" s="56">
        <v>15.3</v>
      </c>
      <c r="AR24" s="56">
        <v>11.8</v>
      </c>
      <c r="AS24" s="56">
        <v>17</v>
      </c>
      <c r="AT24" s="56">
        <v>20.2</v>
      </c>
      <c r="AU24" s="56">
        <v>23.4</v>
      </c>
      <c r="AV24" s="56">
        <v>30</v>
      </c>
      <c r="AW24" s="56">
        <v>31.6</v>
      </c>
      <c r="AX24" s="56">
        <v>32.9</v>
      </c>
      <c r="AY24" s="56">
        <v>34.5</v>
      </c>
      <c r="AZ24" s="56">
        <v>35.1</v>
      </c>
      <c r="BA24" s="56">
        <v>35.6</v>
      </c>
      <c r="BB24" s="56">
        <v>38.700000000000003</v>
      </c>
      <c r="BC24" s="56">
        <v>39.200000000000003</v>
      </c>
      <c r="BD24" s="56">
        <v>45.3</v>
      </c>
      <c r="BE24" s="56">
        <v>50.5</v>
      </c>
      <c r="BF24" s="56">
        <v>54</v>
      </c>
      <c r="BG24" s="56">
        <v>52.8</v>
      </c>
      <c r="BH24" s="56">
        <v>50</v>
      </c>
      <c r="BI24" s="56">
        <v>48.9</v>
      </c>
      <c r="BJ24" s="56">
        <v>50.3</v>
      </c>
      <c r="BK24" s="56">
        <v>50.3</v>
      </c>
      <c r="BL24" s="56">
        <v>53.9</v>
      </c>
      <c r="BM24" s="56">
        <v>52.5</v>
      </c>
      <c r="BN24" s="56">
        <v>49.9</v>
      </c>
      <c r="BO24" s="56">
        <v>48.5</v>
      </c>
      <c r="BP24" s="56">
        <v>48</v>
      </c>
      <c r="BQ24" s="56">
        <v>47.5</v>
      </c>
      <c r="BR24" s="56">
        <v>46.7</v>
      </c>
      <c r="BS24" s="56">
        <v>46.4</v>
      </c>
      <c r="BT24" s="56">
        <v>46.1</v>
      </c>
      <c r="BU24" s="56">
        <v>46.9</v>
      </c>
      <c r="BV24" s="56">
        <v>46.8</v>
      </c>
      <c r="BW24" s="56">
        <v>38.799999999999997</v>
      </c>
      <c r="BX24" s="56">
        <v>39.700000000000003</v>
      </c>
      <c r="BY24" s="56">
        <v>40.6</v>
      </c>
      <c r="BZ24" s="56">
        <v>40.799999999999997</v>
      </c>
      <c r="CA24" s="56">
        <v>41.4</v>
      </c>
      <c r="CB24" s="56">
        <v>43.6</v>
      </c>
      <c r="CC24" s="56">
        <v>44.5</v>
      </c>
      <c r="CD24" s="56">
        <v>45</v>
      </c>
    </row>
    <row r="25" spans="1:82" s="4" customFormat="1" ht="12.75" customHeight="1" x14ac:dyDescent="0.5">
      <c r="A25" s="10"/>
      <c r="B25" s="30" t="s">
        <v>86</v>
      </c>
      <c r="C25" s="30" t="s">
        <v>87</v>
      </c>
      <c r="D25" s="38"/>
      <c r="E25" s="38"/>
      <c r="F25" s="38"/>
      <c r="G25" s="38"/>
      <c r="H25" s="38"/>
      <c r="I25" s="13"/>
      <c r="J25" s="13"/>
      <c r="K25" s="13"/>
      <c r="L25" s="13"/>
      <c r="M25" s="13"/>
      <c r="N25" s="13"/>
      <c r="O25" s="13"/>
      <c r="P25" s="13"/>
      <c r="Q25" s="13"/>
      <c r="R25" s="13"/>
      <c r="S25" s="38"/>
      <c r="T25" s="38"/>
      <c r="U25" s="38"/>
      <c r="V25" s="38"/>
      <c r="W25" s="38"/>
      <c r="X25" s="38"/>
      <c r="Y25" s="38"/>
      <c r="Z25" s="13"/>
      <c r="AA25" s="13"/>
      <c r="AB25" s="13"/>
      <c r="AC25" s="13"/>
      <c r="AD25" s="13"/>
      <c r="AE25" s="13"/>
      <c r="AF25" s="13"/>
      <c r="AG25" s="13"/>
      <c r="AH25" s="13"/>
      <c r="AI25" s="13"/>
      <c r="AJ25" s="13"/>
      <c r="AK25" s="13"/>
      <c r="AL25" s="13"/>
      <c r="AM25" s="13">
        <v>5.4</v>
      </c>
      <c r="AN25" s="13">
        <v>7.2</v>
      </c>
      <c r="AO25" s="38"/>
      <c r="AP25" s="38">
        <v>6.7</v>
      </c>
      <c r="AQ25" s="38">
        <v>7.4</v>
      </c>
      <c r="AR25" s="38">
        <v>7.6</v>
      </c>
      <c r="AS25" s="38">
        <v>7.6</v>
      </c>
      <c r="AT25" s="38">
        <v>7.7</v>
      </c>
      <c r="AU25" s="38"/>
      <c r="AV25" s="38"/>
      <c r="AW25" s="38">
        <v>14.8</v>
      </c>
      <c r="AX25" s="38">
        <v>14.7</v>
      </c>
      <c r="AY25" s="38">
        <v>16.7</v>
      </c>
      <c r="AZ25" s="38">
        <v>16</v>
      </c>
      <c r="BA25" s="38">
        <v>13.7</v>
      </c>
      <c r="BB25" s="38">
        <v>13.7</v>
      </c>
      <c r="BC25" s="38">
        <v>13.7</v>
      </c>
      <c r="BD25" s="135">
        <f>(BC25+BE25)/2</f>
        <v>18.350000000000001</v>
      </c>
      <c r="BE25" s="38">
        <v>23</v>
      </c>
      <c r="BF25" s="38">
        <v>23.6</v>
      </c>
      <c r="BG25" s="38">
        <v>23.6</v>
      </c>
      <c r="BH25" s="38">
        <v>23.6</v>
      </c>
      <c r="BI25" s="38">
        <v>24.2</v>
      </c>
      <c r="BJ25" s="38">
        <v>24.4</v>
      </c>
      <c r="BK25" s="38">
        <v>24.2</v>
      </c>
      <c r="BL25" s="38">
        <v>24.2</v>
      </c>
      <c r="BM25" s="38">
        <v>24.2</v>
      </c>
      <c r="BN25" s="38">
        <v>24.2</v>
      </c>
      <c r="BO25" s="135">
        <f>(BN25+BP25)/2</f>
        <v>23.2</v>
      </c>
      <c r="BP25" s="38">
        <v>22.2</v>
      </c>
      <c r="BQ25" s="38">
        <v>24.4</v>
      </c>
      <c r="BR25" s="38">
        <v>24.4</v>
      </c>
      <c r="BS25" s="38">
        <v>24.1</v>
      </c>
      <c r="BT25" s="135">
        <v>24.1</v>
      </c>
      <c r="BU25" s="135">
        <v>24.1</v>
      </c>
      <c r="BV25" s="38">
        <v>24.1</v>
      </c>
      <c r="BW25" s="38"/>
      <c r="BX25" s="38">
        <v>24.1</v>
      </c>
      <c r="BY25" s="38"/>
      <c r="BZ25" s="38">
        <v>24.4</v>
      </c>
      <c r="CA25" s="38"/>
      <c r="CB25" s="38"/>
      <c r="CC25" s="38"/>
      <c r="CD25" s="38"/>
    </row>
    <row r="26" spans="1:82" s="4" customFormat="1" ht="12.75" customHeight="1" x14ac:dyDescent="0.5">
      <c r="A26" s="10"/>
      <c r="B26" s="10"/>
      <c r="C26" s="10"/>
      <c r="D26" s="38"/>
      <c r="E26" s="38"/>
      <c r="F26" s="38"/>
      <c r="G26" s="38"/>
      <c r="H26" s="38"/>
      <c r="I26" s="13"/>
      <c r="J26" s="13"/>
      <c r="K26" s="13"/>
      <c r="L26" s="13"/>
      <c r="M26" s="13"/>
      <c r="N26" s="13"/>
      <c r="O26" s="13"/>
      <c r="P26" s="13"/>
      <c r="Q26" s="13"/>
      <c r="R26" s="13"/>
      <c r="S26" s="38"/>
      <c r="T26" s="38"/>
      <c r="U26" s="38"/>
      <c r="V26" s="38"/>
      <c r="W26" s="38"/>
      <c r="X26" s="38"/>
      <c r="Y26" s="38"/>
      <c r="Z26" s="13"/>
      <c r="AA26" s="13"/>
      <c r="AB26" s="13"/>
      <c r="AC26" s="13"/>
      <c r="AD26" s="13"/>
      <c r="AE26" s="13"/>
      <c r="AF26" s="13"/>
      <c r="AG26" s="13"/>
      <c r="AH26" s="13"/>
      <c r="AI26" s="13"/>
      <c r="AJ26" s="13"/>
      <c r="AK26" s="13"/>
      <c r="AL26" s="13"/>
      <c r="AM26" s="13"/>
      <c r="AN26" s="13"/>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row>
    <row r="27" spans="1:82" s="4" customFormat="1" ht="12.75" customHeight="1" x14ac:dyDescent="0.5">
      <c r="A27" s="10"/>
      <c r="B27" s="10"/>
      <c r="C27" s="10" t="s">
        <v>88</v>
      </c>
      <c r="D27" s="38"/>
      <c r="E27" s="38"/>
      <c r="F27" s="38"/>
      <c r="G27" s="38"/>
      <c r="H27" s="38"/>
      <c r="I27" s="13"/>
      <c r="J27" s="13"/>
      <c r="K27" s="13"/>
      <c r="L27" s="13"/>
      <c r="M27" s="13"/>
      <c r="N27" s="13"/>
      <c r="O27" s="13"/>
      <c r="P27" s="13"/>
      <c r="Q27" s="13"/>
      <c r="R27" s="13"/>
      <c r="S27" s="38"/>
      <c r="T27" s="38"/>
      <c r="U27" s="38"/>
      <c r="V27" s="38"/>
      <c r="W27" s="38"/>
      <c r="X27" s="38"/>
      <c r="Y27" s="38"/>
      <c r="Z27" s="13"/>
      <c r="AA27" s="13"/>
      <c r="AB27" s="13"/>
      <c r="AC27" s="13"/>
      <c r="AD27" s="13"/>
      <c r="AE27" s="13"/>
      <c r="AF27" s="13"/>
      <c r="AG27" s="13"/>
      <c r="AH27" s="13"/>
      <c r="AI27" s="13"/>
      <c r="AJ27" s="13"/>
      <c r="AK27" s="13"/>
      <c r="AL27" s="13"/>
      <c r="AM27" s="13"/>
      <c r="AN27" s="13"/>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row>
    <row r="28" spans="1:82" s="4" customFormat="1" ht="12.75" customHeight="1" x14ac:dyDescent="0.5">
      <c r="C28" s="29" t="s">
        <v>79</v>
      </c>
      <c r="D28" s="156"/>
      <c r="E28" s="38"/>
      <c r="F28" s="156"/>
      <c r="G28" s="38"/>
      <c r="H28" s="156"/>
      <c r="I28" s="38"/>
      <c r="J28" s="156"/>
      <c r="K28" s="38"/>
      <c r="L28" s="38"/>
      <c r="M28" s="38"/>
      <c r="N28" s="38"/>
      <c r="O28" s="38"/>
      <c r="P28" s="38"/>
      <c r="Q28" s="38"/>
      <c r="R28" s="38"/>
      <c r="S28" s="38"/>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v>408</v>
      </c>
      <c r="AU28" s="38"/>
      <c r="AV28" s="38"/>
      <c r="AW28" s="38"/>
      <c r="AX28" s="38"/>
      <c r="AY28" s="38"/>
      <c r="AZ28" s="38"/>
      <c r="BA28" s="38"/>
      <c r="BB28" s="38"/>
      <c r="BC28" s="38"/>
      <c r="BD28" s="38"/>
      <c r="BE28" s="38"/>
      <c r="BF28" s="38"/>
      <c r="BG28" s="38"/>
      <c r="BH28" s="38">
        <v>758</v>
      </c>
      <c r="BI28" s="38"/>
      <c r="BJ28" s="38">
        <v>880</v>
      </c>
      <c r="BK28" s="38"/>
      <c r="BL28" s="38"/>
      <c r="BM28" s="38">
        <v>761</v>
      </c>
      <c r="BN28" s="38"/>
      <c r="BO28" s="38">
        <v>1051</v>
      </c>
      <c r="BP28" s="38"/>
      <c r="BQ28" s="38"/>
      <c r="BR28" s="38"/>
      <c r="BS28" s="38"/>
      <c r="BT28" s="38"/>
      <c r="BU28" s="38"/>
      <c r="BV28" s="38">
        <v>647</v>
      </c>
      <c r="BW28" s="38"/>
      <c r="BX28" s="38"/>
      <c r="BY28" s="38">
        <v>726</v>
      </c>
      <c r="BZ28" s="38"/>
      <c r="CA28" s="38"/>
      <c r="CB28" s="38"/>
      <c r="CC28" s="38"/>
      <c r="CD28" s="38"/>
    </row>
    <row r="29" spans="1:82" s="7" customFormat="1" ht="12.75" customHeight="1" x14ac:dyDescent="0.5">
      <c r="A29" s="7" t="s">
        <v>62</v>
      </c>
      <c r="C29" s="8" t="s">
        <v>348</v>
      </c>
      <c r="D29" s="8"/>
    </row>
    <row r="30" spans="1:82" s="4" customFormat="1" ht="12.75" customHeight="1" x14ac:dyDescent="0.5">
      <c r="A30" s="10" t="s">
        <v>398</v>
      </c>
      <c r="B30" s="10" t="s">
        <v>399</v>
      </c>
      <c r="C30" s="21" t="s">
        <v>89</v>
      </c>
      <c r="D30" s="22"/>
      <c r="E30" s="10"/>
      <c r="F30" s="22"/>
      <c r="G30" s="10"/>
      <c r="H30" s="31"/>
      <c r="J30" s="31"/>
      <c r="Q30" s="38"/>
      <c r="R30" s="38"/>
      <c r="S30" s="38"/>
      <c r="T30" s="38"/>
      <c r="U30" s="38"/>
      <c r="V30" s="38"/>
      <c r="W30" s="38">
        <f>W31+W34</f>
        <v>1342</v>
      </c>
      <c r="X30" s="38">
        <f t="shared" ref="X30:CD30" si="2">X31+X34</f>
        <v>1376</v>
      </c>
      <c r="Y30" s="38">
        <f t="shared" si="2"/>
        <v>1538</v>
      </c>
      <c r="Z30" s="38">
        <f t="shared" si="2"/>
        <v>1550</v>
      </c>
      <c r="AA30" s="38">
        <f t="shared" si="2"/>
        <v>1590</v>
      </c>
      <c r="AB30" s="38">
        <f t="shared" si="2"/>
        <v>1698</v>
      </c>
      <c r="AC30" s="38">
        <f t="shared" si="2"/>
        <v>1796</v>
      </c>
      <c r="AD30" s="38">
        <f t="shared" si="2"/>
        <v>1774</v>
      </c>
      <c r="AE30" s="38">
        <f t="shared" si="2"/>
        <v>1860</v>
      </c>
      <c r="AF30" s="38">
        <f t="shared" si="2"/>
        <v>2116</v>
      </c>
      <c r="AG30" s="38">
        <f t="shared" si="2"/>
        <v>2284</v>
      </c>
      <c r="AH30" s="38">
        <f t="shared" si="2"/>
        <v>2544</v>
      </c>
      <c r="AI30" s="38">
        <f t="shared" si="2"/>
        <v>2736</v>
      </c>
      <c r="AJ30" s="38">
        <f t="shared" si="2"/>
        <v>2924</v>
      </c>
      <c r="AK30" s="38">
        <f t="shared" si="2"/>
        <v>3074</v>
      </c>
      <c r="AL30" s="38">
        <f t="shared" si="2"/>
        <v>3372</v>
      </c>
      <c r="AM30" s="38">
        <f t="shared" si="2"/>
        <v>3761.9999999999995</v>
      </c>
      <c r="AN30" s="38">
        <f t="shared" si="2"/>
        <v>4136</v>
      </c>
      <c r="AO30" s="38">
        <f t="shared" si="2"/>
        <v>4622</v>
      </c>
      <c r="AP30" s="38">
        <f t="shared" si="2"/>
        <v>5488</v>
      </c>
      <c r="AQ30" s="38">
        <f t="shared" si="2"/>
        <v>6246</v>
      </c>
      <c r="AR30" s="38">
        <f t="shared" si="2"/>
        <v>7594</v>
      </c>
      <c r="AS30" s="38">
        <f t="shared" si="2"/>
        <v>8628</v>
      </c>
      <c r="AT30" s="38">
        <f t="shared" si="2"/>
        <v>9660</v>
      </c>
      <c r="AU30" s="38">
        <f t="shared" si="2"/>
        <v>11268</v>
      </c>
      <c r="AV30" s="38">
        <f t="shared" si="2"/>
        <v>13280</v>
      </c>
      <c r="AW30" s="38">
        <f t="shared" si="2"/>
        <v>15774</v>
      </c>
      <c r="AX30" s="38">
        <f t="shared" si="2"/>
        <v>17062</v>
      </c>
      <c r="AY30" s="38">
        <f t="shared" si="2"/>
        <v>19164</v>
      </c>
      <c r="AZ30" s="38">
        <f t="shared" si="2"/>
        <v>21496</v>
      </c>
      <c r="BA30" s="38">
        <f t="shared" si="2"/>
        <v>24644</v>
      </c>
      <c r="BB30" s="38">
        <f t="shared" si="2"/>
        <v>27860</v>
      </c>
      <c r="BC30" s="38">
        <f t="shared" si="2"/>
        <v>30796</v>
      </c>
      <c r="BD30" s="38">
        <f t="shared" si="2"/>
        <v>36146</v>
      </c>
      <c r="BE30" s="38">
        <f t="shared" si="2"/>
        <v>42058</v>
      </c>
      <c r="BF30" s="38">
        <f t="shared" si="2"/>
        <v>47204</v>
      </c>
      <c r="BG30" s="38">
        <f t="shared" si="2"/>
        <v>52976</v>
      </c>
      <c r="BH30" s="38">
        <f t="shared" si="2"/>
        <v>60978</v>
      </c>
      <c r="BI30" s="38">
        <f t="shared" si="2"/>
        <v>69932</v>
      </c>
      <c r="BJ30" s="38">
        <f t="shared" si="2"/>
        <v>84538</v>
      </c>
      <c r="BK30" s="38">
        <f t="shared" si="2"/>
        <v>106278</v>
      </c>
      <c r="BL30" s="38">
        <f t="shared" si="2"/>
        <v>134372</v>
      </c>
      <c r="BM30" s="38">
        <f t="shared" si="2"/>
        <v>164920</v>
      </c>
      <c r="BN30" s="38">
        <f t="shared" si="2"/>
        <v>212162</v>
      </c>
      <c r="BO30" s="38">
        <f t="shared" si="2"/>
        <v>247618</v>
      </c>
      <c r="BP30" s="38">
        <f t="shared" si="2"/>
        <v>285867</v>
      </c>
      <c r="BQ30" s="38">
        <f t="shared" si="2"/>
        <v>333483</v>
      </c>
      <c r="BR30" s="38">
        <f t="shared" si="2"/>
        <v>388467</v>
      </c>
      <c r="BS30" s="38">
        <f t="shared" si="2"/>
        <v>425337</v>
      </c>
      <c r="BT30" s="38">
        <f t="shared" si="2"/>
        <v>506508</v>
      </c>
      <c r="BU30" s="38">
        <f t="shared" si="2"/>
        <v>589512</v>
      </c>
      <c r="BV30" s="38">
        <f t="shared" si="2"/>
        <v>587000</v>
      </c>
      <c r="BW30" s="38">
        <f t="shared" si="2"/>
        <v>656777</v>
      </c>
      <c r="BX30" s="38">
        <f t="shared" si="2"/>
        <v>698610</v>
      </c>
      <c r="BY30" s="38">
        <f t="shared" si="2"/>
        <v>750661</v>
      </c>
      <c r="BZ30" s="38">
        <f t="shared" si="2"/>
        <v>796465</v>
      </c>
      <c r="CA30" s="38">
        <f t="shared" si="2"/>
        <v>861121</v>
      </c>
      <c r="CB30" s="38">
        <f t="shared" si="2"/>
        <v>949330</v>
      </c>
      <c r="CC30" s="38">
        <f t="shared" si="2"/>
        <v>1112644</v>
      </c>
      <c r="CD30" s="38">
        <f t="shared" si="2"/>
        <v>1315871</v>
      </c>
    </row>
    <row r="31" spans="1:82" s="4" customFormat="1" ht="12.75" customHeight="1" x14ac:dyDescent="0.5">
      <c r="A31" s="10"/>
      <c r="B31" s="10"/>
      <c r="C31" s="21" t="s">
        <v>90</v>
      </c>
      <c r="D31" s="22"/>
      <c r="E31" s="10"/>
      <c r="F31" s="22"/>
      <c r="G31" s="10"/>
      <c r="H31" s="31"/>
      <c r="J31" s="31"/>
      <c r="Q31" s="38"/>
      <c r="R31" s="38"/>
      <c r="S31" s="38"/>
      <c r="T31" s="38"/>
      <c r="U31" s="38"/>
      <c r="V31" s="38"/>
      <c r="W31" s="38">
        <v>810</v>
      </c>
      <c r="X31" s="38">
        <v>854</v>
      </c>
      <c r="Y31" s="38">
        <v>946.00000000000011</v>
      </c>
      <c r="Z31" s="38">
        <v>954</v>
      </c>
      <c r="AA31" s="38">
        <v>976</v>
      </c>
      <c r="AB31" s="38">
        <v>1052</v>
      </c>
      <c r="AC31" s="38">
        <v>1050</v>
      </c>
      <c r="AD31" s="38">
        <v>1032</v>
      </c>
      <c r="AE31" s="38">
        <v>1104</v>
      </c>
      <c r="AF31" s="38">
        <v>1218</v>
      </c>
      <c r="AG31" s="38">
        <v>1256</v>
      </c>
      <c r="AH31" s="38">
        <v>1384</v>
      </c>
      <c r="AI31" s="38">
        <v>1478</v>
      </c>
      <c r="AJ31" s="38">
        <v>1582</v>
      </c>
      <c r="AK31" s="38">
        <v>1636</v>
      </c>
      <c r="AL31" s="38">
        <v>1786</v>
      </c>
      <c r="AM31" s="38">
        <v>1950</v>
      </c>
      <c r="AN31" s="38">
        <v>2146</v>
      </c>
      <c r="AO31" s="38">
        <v>2342</v>
      </c>
      <c r="AP31" s="38">
        <v>2830</v>
      </c>
      <c r="AQ31" s="38">
        <v>3110</v>
      </c>
      <c r="AR31" s="38">
        <v>3668</v>
      </c>
      <c r="AS31" s="38">
        <v>4200</v>
      </c>
      <c r="AT31" s="38">
        <v>4670</v>
      </c>
      <c r="AU31" s="38">
        <v>5486</v>
      </c>
      <c r="AV31" s="38">
        <v>6536</v>
      </c>
      <c r="AW31" s="38">
        <v>7436</v>
      </c>
      <c r="AX31" s="38">
        <v>7918</v>
      </c>
      <c r="AY31" s="38">
        <v>8894</v>
      </c>
      <c r="AZ31" s="38">
        <v>10146</v>
      </c>
      <c r="BA31" s="38">
        <v>11500</v>
      </c>
      <c r="BB31" s="38">
        <v>12784</v>
      </c>
      <c r="BC31" s="38">
        <v>14540</v>
      </c>
      <c r="BD31" s="38">
        <v>16886</v>
      </c>
      <c r="BE31" s="38">
        <v>20004</v>
      </c>
      <c r="BF31" s="38">
        <v>22944</v>
      </c>
      <c r="BG31" s="38">
        <v>25914</v>
      </c>
      <c r="BH31" s="38">
        <v>31470</v>
      </c>
      <c r="BI31" s="38">
        <v>37924</v>
      </c>
      <c r="BJ31" s="38">
        <v>46400</v>
      </c>
      <c r="BK31" s="38">
        <v>61108</v>
      </c>
      <c r="BL31" s="38">
        <v>79150</v>
      </c>
      <c r="BM31" s="38">
        <v>98832</v>
      </c>
      <c r="BN31" s="38">
        <v>118182</v>
      </c>
      <c r="BO31" s="38">
        <v>144699</v>
      </c>
      <c r="BP31" s="38">
        <v>168870</v>
      </c>
      <c r="BQ31" s="38">
        <v>205856</v>
      </c>
      <c r="BR31" s="38">
        <v>240899</v>
      </c>
      <c r="BS31" s="38">
        <v>264020</v>
      </c>
      <c r="BT31" s="38">
        <v>322512</v>
      </c>
      <c r="BU31" s="38">
        <v>393363</v>
      </c>
      <c r="BV31" s="38">
        <v>395307</v>
      </c>
      <c r="BW31" s="38">
        <v>453647</v>
      </c>
      <c r="BX31" s="38">
        <v>483597</v>
      </c>
      <c r="BY31" s="38">
        <v>517835</v>
      </c>
      <c r="BZ31" s="38">
        <v>547117</v>
      </c>
      <c r="CA31" s="38">
        <v>582883</v>
      </c>
      <c r="CB31" s="38">
        <v>628181</v>
      </c>
      <c r="CC31" s="38">
        <v>737700.00000000012</v>
      </c>
      <c r="CD31" s="38">
        <v>897598</v>
      </c>
    </row>
    <row r="32" spans="1:82" s="4" customFormat="1" ht="12.75" customHeight="1" x14ac:dyDescent="0.5">
      <c r="A32" s="10"/>
      <c r="B32" s="10"/>
      <c r="C32" s="23" t="s">
        <v>91</v>
      </c>
      <c r="D32" s="22"/>
      <c r="E32" s="10"/>
      <c r="F32" s="22"/>
      <c r="G32" s="10"/>
      <c r="H32" s="31"/>
      <c r="J32" s="31"/>
      <c r="Q32" s="38"/>
      <c r="R32" s="38"/>
      <c r="S32" s="38"/>
      <c r="T32" s="38"/>
      <c r="U32" s="38"/>
      <c r="V32" s="38"/>
      <c r="W32" s="38"/>
      <c r="X32" s="38">
        <v>384</v>
      </c>
      <c r="Y32" s="38">
        <v>420</v>
      </c>
      <c r="Z32" s="38">
        <v>420</v>
      </c>
      <c r="AA32" s="38">
        <v>428</v>
      </c>
      <c r="AB32" s="38">
        <v>478</v>
      </c>
      <c r="AC32" s="38">
        <v>474.00000000000006</v>
      </c>
      <c r="AD32" s="38">
        <v>483</v>
      </c>
      <c r="AE32" s="38">
        <v>522</v>
      </c>
      <c r="AF32" s="38">
        <v>600</v>
      </c>
      <c r="AG32" s="38">
        <v>628</v>
      </c>
      <c r="AH32" s="38">
        <v>766</v>
      </c>
      <c r="AI32" s="38">
        <v>788.00000000000011</v>
      </c>
      <c r="AJ32" s="38">
        <v>902</v>
      </c>
      <c r="AK32" s="38">
        <v>960</v>
      </c>
      <c r="AL32" s="38">
        <v>1040</v>
      </c>
      <c r="AM32" s="38">
        <v>1168</v>
      </c>
      <c r="AN32" s="38">
        <v>1406</v>
      </c>
      <c r="AO32" s="13">
        <v>1342</v>
      </c>
      <c r="AP32" s="13">
        <v>1612</v>
      </c>
      <c r="AQ32" s="38">
        <v>2010</v>
      </c>
      <c r="AR32" s="38">
        <v>2640</v>
      </c>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row>
    <row r="33" spans="1:84" s="4" customFormat="1" ht="12.75" customHeight="1" x14ac:dyDescent="0.5">
      <c r="A33" s="10"/>
      <c r="B33" s="10"/>
      <c r="C33" s="23" t="s">
        <v>92</v>
      </c>
      <c r="D33" s="22"/>
      <c r="E33" s="10"/>
      <c r="F33" s="22"/>
      <c r="G33" s="10"/>
      <c r="H33" s="31"/>
      <c r="J33" s="31"/>
      <c r="Q33" s="38"/>
      <c r="R33" s="38"/>
      <c r="S33" s="38"/>
      <c r="T33" s="38"/>
      <c r="U33" s="38"/>
      <c r="V33" s="38"/>
      <c r="W33" s="38"/>
      <c r="X33" s="38"/>
      <c r="Y33" s="38"/>
      <c r="Z33" s="38"/>
      <c r="AA33" s="38">
        <v>548</v>
      </c>
      <c r="AB33" s="38">
        <v>574</v>
      </c>
      <c r="AC33" s="38">
        <v>576</v>
      </c>
      <c r="AD33" s="38">
        <v>549</v>
      </c>
      <c r="AE33" s="38">
        <v>582</v>
      </c>
      <c r="AF33" s="38">
        <v>612.00000000000011</v>
      </c>
      <c r="AG33" s="38">
        <v>628</v>
      </c>
      <c r="AH33" s="38">
        <v>618</v>
      </c>
      <c r="AI33" s="38">
        <v>690</v>
      </c>
      <c r="AJ33" s="38">
        <v>682</v>
      </c>
      <c r="AK33" s="38">
        <v>674</v>
      </c>
      <c r="AL33" s="38">
        <v>742</v>
      </c>
      <c r="AM33" s="38">
        <v>784</v>
      </c>
      <c r="AN33" s="38">
        <v>740.00000000000011</v>
      </c>
      <c r="AO33" s="39">
        <v>979</v>
      </c>
      <c r="AP33" s="13">
        <v>1218</v>
      </c>
      <c r="AQ33" s="39">
        <v>1123</v>
      </c>
      <c r="AR33" s="38">
        <v>1028</v>
      </c>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row>
    <row r="34" spans="1:84" s="4" customFormat="1" ht="12.75" customHeight="1" x14ac:dyDescent="0.5">
      <c r="A34" s="10"/>
      <c r="B34" s="20"/>
      <c r="C34" s="21" t="s">
        <v>93</v>
      </c>
      <c r="D34" s="10"/>
      <c r="E34" s="10"/>
      <c r="F34" s="10"/>
      <c r="G34" s="10"/>
      <c r="N34" s="32"/>
      <c r="Q34" s="38"/>
      <c r="R34" s="38"/>
      <c r="S34" s="38"/>
      <c r="T34" s="38"/>
      <c r="U34" s="38"/>
      <c r="V34" s="38"/>
      <c r="W34" s="38">
        <v>532</v>
      </c>
      <c r="X34" s="38">
        <v>522</v>
      </c>
      <c r="Y34" s="38">
        <v>592</v>
      </c>
      <c r="Z34" s="38">
        <v>596</v>
      </c>
      <c r="AA34" s="38">
        <v>614</v>
      </c>
      <c r="AB34" s="38">
        <v>646</v>
      </c>
      <c r="AC34" s="38">
        <v>746</v>
      </c>
      <c r="AD34" s="38">
        <v>742</v>
      </c>
      <c r="AE34" s="13">
        <v>756</v>
      </c>
      <c r="AF34" s="13">
        <v>898</v>
      </c>
      <c r="AG34" s="13">
        <v>1028</v>
      </c>
      <c r="AH34" s="13">
        <v>1160</v>
      </c>
      <c r="AI34" s="13">
        <v>1258</v>
      </c>
      <c r="AJ34" s="38">
        <v>1342</v>
      </c>
      <c r="AK34" s="38">
        <v>1438</v>
      </c>
      <c r="AL34" s="38">
        <v>1586.0000000000002</v>
      </c>
      <c r="AM34" s="38">
        <v>1811.9999999999995</v>
      </c>
      <c r="AN34" s="38">
        <v>1990</v>
      </c>
      <c r="AO34" s="38">
        <v>2280</v>
      </c>
      <c r="AP34" s="38">
        <v>2658</v>
      </c>
      <c r="AQ34" s="38">
        <v>3136</v>
      </c>
      <c r="AR34" s="38">
        <v>3925.9999999999995</v>
      </c>
      <c r="AS34" s="38">
        <v>4428</v>
      </c>
      <c r="AT34" s="38">
        <v>4990.0000000000009</v>
      </c>
      <c r="AU34" s="38">
        <v>5782</v>
      </c>
      <c r="AV34" s="38">
        <v>6744</v>
      </c>
      <c r="AW34" s="38">
        <v>8338</v>
      </c>
      <c r="AX34" s="38">
        <v>9144</v>
      </c>
      <c r="AY34" s="38">
        <v>10270</v>
      </c>
      <c r="AZ34" s="38">
        <v>11350</v>
      </c>
      <c r="BA34" s="38">
        <v>13144</v>
      </c>
      <c r="BB34" s="38">
        <v>15076.000000000002</v>
      </c>
      <c r="BC34" s="38">
        <v>16256</v>
      </c>
      <c r="BD34" s="38">
        <v>19260</v>
      </c>
      <c r="BE34" s="38">
        <v>22054</v>
      </c>
      <c r="BF34" s="38">
        <v>24260</v>
      </c>
      <c r="BG34" s="38">
        <v>27062</v>
      </c>
      <c r="BH34" s="38">
        <v>29508</v>
      </c>
      <c r="BI34" s="38">
        <v>32007.999999999993</v>
      </c>
      <c r="BJ34" s="38">
        <v>38138</v>
      </c>
      <c r="BK34" s="38">
        <v>45170</v>
      </c>
      <c r="BL34" s="38">
        <v>55222</v>
      </c>
      <c r="BM34" s="38">
        <v>66088</v>
      </c>
      <c r="BN34" s="38">
        <v>93980</v>
      </c>
      <c r="BO34" s="38">
        <v>102919</v>
      </c>
      <c r="BP34" s="38">
        <v>116997</v>
      </c>
      <c r="BQ34" s="38">
        <v>127627</v>
      </c>
      <c r="BR34" s="38">
        <v>147568</v>
      </c>
      <c r="BS34" s="38">
        <v>161317</v>
      </c>
      <c r="BT34" s="13">
        <v>183996</v>
      </c>
      <c r="BU34" s="13">
        <v>196149</v>
      </c>
      <c r="BV34" s="38">
        <v>191693</v>
      </c>
      <c r="BW34" s="38">
        <v>203130</v>
      </c>
      <c r="BX34" s="38">
        <v>215013</v>
      </c>
      <c r="BY34" s="38">
        <v>232826</v>
      </c>
      <c r="BZ34" s="38">
        <v>249348</v>
      </c>
      <c r="CA34" s="38">
        <v>278238</v>
      </c>
      <c r="CB34" s="38">
        <v>321149</v>
      </c>
      <c r="CC34" s="38">
        <v>374944</v>
      </c>
      <c r="CD34" s="38">
        <v>418273</v>
      </c>
    </row>
    <row r="35" spans="1:84" s="4" customFormat="1" ht="12.75" customHeight="1" x14ac:dyDescent="0.5">
      <c r="A35" s="10"/>
      <c r="B35" s="10"/>
      <c r="C35" s="23" t="s">
        <v>94</v>
      </c>
      <c r="D35" s="10"/>
      <c r="E35" s="10"/>
      <c r="F35" s="10"/>
      <c r="G35" s="10"/>
      <c r="N35" s="32"/>
      <c r="O35" s="33">
        <f>1.817596*20</f>
        <v>36.35192</v>
      </c>
      <c r="P35" s="33">
        <v>51.897599999999997</v>
      </c>
      <c r="Q35" s="39">
        <v>64.859899999999996</v>
      </c>
      <c r="R35" s="39"/>
      <c r="S35" s="39"/>
      <c r="T35" s="39">
        <v>95.503999999999991</v>
      </c>
      <c r="U35" s="39">
        <v>122.72</v>
      </c>
      <c r="V35" s="39">
        <v>159.20999999999998</v>
      </c>
      <c r="W35" s="38">
        <v>192.2</v>
      </c>
      <c r="X35" s="38">
        <v>222</v>
      </c>
      <c r="Y35" s="38">
        <v>250</v>
      </c>
      <c r="Z35" s="38">
        <v>250</v>
      </c>
      <c r="AA35" s="38">
        <v>264</v>
      </c>
      <c r="AB35" s="38">
        <v>288</v>
      </c>
      <c r="AC35" s="38">
        <v>330</v>
      </c>
      <c r="AD35" s="38">
        <v>359.20000000000005</v>
      </c>
      <c r="AE35" s="13">
        <v>394</v>
      </c>
      <c r="AF35" s="13">
        <v>598</v>
      </c>
      <c r="AG35" s="13">
        <v>708</v>
      </c>
      <c r="AH35" s="13">
        <v>794</v>
      </c>
      <c r="AI35" s="38">
        <v>872</v>
      </c>
      <c r="AJ35" s="38">
        <v>964</v>
      </c>
      <c r="AK35" s="38">
        <v>1062</v>
      </c>
      <c r="AL35" s="38">
        <v>1150</v>
      </c>
      <c r="AM35" s="38">
        <v>1266</v>
      </c>
      <c r="AN35" s="38">
        <v>1530</v>
      </c>
      <c r="AO35" s="38">
        <v>1467.1319230769268</v>
      </c>
      <c r="AP35" s="38">
        <v>1960.9639120879069</v>
      </c>
      <c r="AQ35" s="38">
        <v>2549.4819560439537</v>
      </c>
      <c r="AR35" s="38">
        <v>3449.9999999999995</v>
      </c>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13"/>
      <c r="BU35" s="13"/>
      <c r="BV35" s="38"/>
      <c r="BW35" s="38"/>
      <c r="BX35" s="38"/>
      <c r="BY35" s="38"/>
      <c r="BZ35" s="38"/>
      <c r="CA35" s="38"/>
      <c r="CB35" s="38"/>
      <c r="CC35" s="38"/>
      <c r="CD35" s="38"/>
    </row>
    <row r="36" spans="1:84" s="4" customFormat="1" ht="12.75" customHeight="1" x14ac:dyDescent="0.5">
      <c r="A36" s="10"/>
      <c r="B36" s="10"/>
      <c r="C36" s="23" t="s">
        <v>95</v>
      </c>
      <c r="D36" s="10"/>
      <c r="E36" s="10"/>
      <c r="F36" s="10"/>
      <c r="G36" s="10"/>
      <c r="N36" s="34"/>
      <c r="O36" s="32"/>
      <c r="P36" s="32"/>
      <c r="Q36" s="38"/>
      <c r="R36" s="38"/>
      <c r="S36" s="38"/>
      <c r="T36" s="38"/>
      <c r="U36" s="38"/>
      <c r="V36" s="38"/>
      <c r="W36" s="38">
        <v>310</v>
      </c>
      <c r="X36" s="38">
        <v>300.00000000000006</v>
      </c>
      <c r="Y36" s="38">
        <v>342</v>
      </c>
      <c r="Z36" s="38">
        <v>346</v>
      </c>
      <c r="AA36" s="38">
        <v>350</v>
      </c>
      <c r="AB36" s="38">
        <v>358</v>
      </c>
      <c r="AC36" s="38">
        <v>415.99999999999994</v>
      </c>
      <c r="AD36" s="38">
        <v>382.8</v>
      </c>
      <c r="AE36" s="13">
        <v>361.99999999999994</v>
      </c>
      <c r="AF36" s="13">
        <v>300</v>
      </c>
      <c r="AG36" s="13">
        <v>320</v>
      </c>
      <c r="AH36" s="13">
        <v>365.99999999999994</v>
      </c>
      <c r="AI36" s="38">
        <v>386.00000000000011</v>
      </c>
      <c r="AJ36" s="38">
        <v>377.99999999999983</v>
      </c>
      <c r="AK36" s="38">
        <v>376.00000000000011</v>
      </c>
      <c r="AL36" s="38">
        <v>436.00000000000023</v>
      </c>
      <c r="AM36" s="38">
        <v>545.99999999999966</v>
      </c>
      <c r="AN36" s="38">
        <v>460</v>
      </c>
      <c r="AO36" s="39">
        <v>812.86807692307309</v>
      </c>
      <c r="AP36" s="39">
        <v>697.03608791209331</v>
      </c>
      <c r="AQ36" s="39">
        <v>586.51804395604677</v>
      </c>
      <c r="AR36" s="39">
        <v>476</v>
      </c>
      <c r="AS36" s="38"/>
      <c r="AT36" s="38"/>
      <c r="AU36" s="38"/>
      <c r="AV36" s="38"/>
      <c r="AW36" s="38"/>
      <c r="AX36" s="38"/>
      <c r="AY36" s="38"/>
      <c r="AZ36" s="38"/>
      <c r="BA36" s="38"/>
      <c r="BB36" s="38"/>
      <c r="BC36" s="38"/>
      <c r="BD36" s="38"/>
      <c r="BE36" s="38"/>
      <c r="BF36" s="38"/>
      <c r="BG36" s="38"/>
      <c r="BH36" s="38"/>
      <c r="BI36" s="38"/>
      <c r="BJ36" s="38"/>
      <c r="BK36" s="38"/>
      <c r="BL36" s="38"/>
      <c r="BM36" s="38"/>
      <c r="BN36" s="38"/>
      <c r="BO36" s="38"/>
      <c r="BP36" s="38"/>
      <c r="BQ36" s="38"/>
      <c r="BR36" s="38"/>
      <c r="BS36" s="38"/>
      <c r="BT36" s="13"/>
      <c r="BU36" s="13"/>
      <c r="BV36" s="38"/>
      <c r="BW36" s="38"/>
      <c r="BX36" s="38"/>
      <c r="BY36" s="38"/>
      <c r="BZ36" s="38"/>
      <c r="CA36" s="38"/>
      <c r="CB36" s="38"/>
      <c r="CC36" s="38"/>
      <c r="CD36" s="38"/>
    </row>
    <row r="37" spans="1:84" s="7" customFormat="1" ht="12.75" customHeight="1" x14ac:dyDescent="0.5">
      <c r="A37" s="7" t="s">
        <v>62</v>
      </c>
      <c r="C37" s="8" t="s">
        <v>403</v>
      </c>
      <c r="D37" s="8"/>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row>
    <row r="38" spans="1:84" s="5" customFormat="1" ht="12.75" customHeight="1" x14ac:dyDescent="0.5">
      <c r="A38" s="10" t="s">
        <v>398</v>
      </c>
      <c r="B38" s="10" t="s">
        <v>399</v>
      </c>
      <c r="C38" s="10" t="s">
        <v>96</v>
      </c>
      <c r="D38" s="35"/>
      <c r="E38" s="12"/>
      <c r="F38" s="35"/>
      <c r="G38" s="12"/>
      <c r="H38" s="36"/>
      <c r="J38" s="36"/>
      <c r="Q38" s="157"/>
      <c r="R38" s="157"/>
      <c r="S38" s="157"/>
      <c r="T38" s="157"/>
      <c r="U38" s="157"/>
      <c r="V38" s="157"/>
      <c r="W38" s="158">
        <v>532</v>
      </c>
      <c r="X38" s="158">
        <v>520.00000000000011</v>
      </c>
      <c r="Y38" s="158">
        <v>592</v>
      </c>
      <c r="Z38" s="38">
        <v>596</v>
      </c>
      <c r="AA38" s="38">
        <v>616</v>
      </c>
      <c r="AB38" s="38">
        <v>646</v>
      </c>
      <c r="AC38" s="38">
        <v>746.00000000000011</v>
      </c>
      <c r="AD38" s="38">
        <v>744</v>
      </c>
      <c r="AE38" s="38">
        <v>756</v>
      </c>
      <c r="AF38" s="38">
        <v>900</v>
      </c>
      <c r="AG38" s="38">
        <v>1026</v>
      </c>
      <c r="AH38" s="38">
        <v>1158</v>
      </c>
      <c r="AI38" s="38">
        <v>1257.9999999999998</v>
      </c>
      <c r="AJ38" s="38">
        <v>1342</v>
      </c>
      <c r="AK38" s="38">
        <v>1438</v>
      </c>
      <c r="AL38" s="38">
        <v>1586.0000000000002</v>
      </c>
      <c r="AM38" s="38">
        <v>1811.9999999999995</v>
      </c>
      <c r="AN38" s="38">
        <v>1990</v>
      </c>
      <c r="AO38" s="38">
        <v>2280</v>
      </c>
      <c r="AP38" s="38">
        <v>2658</v>
      </c>
      <c r="AQ38" s="38">
        <v>3136</v>
      </c>
      <c r="AR38" s="38">
        <v>4017.9999999999995</v>
      </c>
      <c r="AS38" s="38">
        <v>4430</v>
      </c>
      <c r="AT38" s="38">
        <v>4990</v>
      </c>
      <c r="AU38" s="38">
        <v>5784</v>
      </c>
      <c r="AV38" s="38">
        <v>6744</v>
      </c>
      <c r="AW38" s="38">
        <v>8338</v>
      </c>
      <c r="AX38" s="38">
        <v>9144</v>
      </c>
      <c r="AY38" s="38">
        <v>10270</v>
      </c>
      <c r="AZ38" s="38">
        <v>11350</v>
      </c>
      <c r="BA38" s="38">
        <v>13144</v>
      </c>
      <c r="BB38" s="38">
        <v>15076</v>
      </c>
      <c r="BC38" s="38">
        <v>16256.000000000002</v>
      </c>
      <c r="BD38" s="38">
        <v>19260</v>
      </c>
      <c r="BE38" s="38">
        <v>22054</v>
      </c>
      <c r="BF38" s="38">
        <v>24260</v>
      </c>
      <c r="BG38" s="38">
        <v>27062.000000000004</v>
      </c>
      <c r="BH38" s="38">
        <v>30332.000000000004</v>
      </c>
      <c r="BI38" s="38">
        <v>32007.999999999996</v>
      </c>
      <c r="BJ38" s="38">
        <v>38138</v>
      </c>
      <c r="BK38" s="38">
        <v>45170</v>
      </c>
      <c r="BL38" s="38">
        <v>55222</v>
      </c>
      <c r="BM38" s="38">
        <v>66088</v>
      </c>
      <c r="BN38" s="38">
        <v>93980</v>
      </c>
      <c r="BO38" s="38">
        <v>102919</v>
      </c>
      <c r="BP38" s="38">
        <v>116997</v>
      </c>
      <c r="BQ38" s="38">
        <v>127627</v>
      </c>
      <c r="BR38" s="38">
        <v>147568</v>
      </c>
      <c r="BS38" s="38">
        <v>161317</v>
      </c>
      <c r="BT38" s="13">
        <v>183996</v>
      </c>
      <c r="BU38" s="13">
        <v>196149</v>
      </c>
      <c r="BV38" s="38">
        <v>191693</v>
      </c>
      <c r="BW38" s="38">
        <v>203130</v>
      </c>
      <c r="BX38" s="38">
        <v>215013.00000000003</v>
      </c>
      <c r="BY38" s="38">
        <v>232826</v>
      </c>
      <c r="BZ38" s="38">
        <v>249348</v>
      </c>
      <c r="CA38" s="38">
        <v>278238</v>
      </c>
      <c r="CB38" s="38">
        <v>321149</v>
      </c>
      <c r="CC38" s="38">
        <v>374944</v>
      </c>
      <c r="CD38" s="38">
        <v>418273</v>
      </c>
    </row>
    <row r="39" spans="1:84" s="4" customFormat="1" ht="12.75" customHeight="1" x14ac:dyDescent="0.5">
      <c r="A39" s="10"/>
      <c r="B39" s="10"/>
      <c r="C39" s="10" t="s">
        <v>80</v>
      </c>
      <c r="D39" s="22"/>
      <c r="E39" s="10"/>
      <c r="F39" s="22"/>
      <c r="G39" s="10"/>
      <c r="H39" s="31"/>
      <c r="J39" s="31"/>
      <c r="Q39" s="38"/>
      <c r="R39" s="38"/>
      <c r="S39" s="38"/>
      <c r="T39" s="38"/>
      <c r="U39" s="38"/>
      <c r="V39" s="38"/>
      <c r="W39" s="38">
        <v>389.32000000000005</v>
      </c>
      <c r="X39" s="38">
        <v>373.84000000000009</v>
      </c>
      <c r="Y39" s="38">
        <v>416.26</v>
      </c>
      <c r="Z39" s="38">
        <v>432.44</v>
      </c>
      <c r="AA39" s="38">
        <v>450.7</v>
      </c>
      <c r="AB39" s="38">
        <v>471.99999999999994</v>
      </c>
      <c r="AC39" s="38">
        <v>563.30000000000007</v>
      </c>
      <c r="AD39" s="38">
        <v>552.6</v>
      </c>
      <c r="AE39" s="38">
        <v>524</v>
      </c>
      <c r="AF39" s="38">
        <v>640</v>
      </c>
      <c r="AG39" s="38">
        <v>726</v>
      </c>
      <c r="AH39" s="38">
        <v>804</v>
      </c>
      <c r="AI39" s="38">
        <v>866</v>
      </c>
      <c r="AJ39" s="38">
        <v>910</v>
      </c>
      <c r="AK39" s="38">
        <v>988</v>
      </c>
      <c r="AL39" s="38">
        <v>1016.0000000000001</v>
      </c>
      <c r="AM39" s="38">
        <v>1143.7013201365187</v>
      </c>
      <c r="AN39" s="38">
        <v>1238.8740599999999</v>
      </c>
      <c r="AO39" s="38">
        <v>1357.92</v>
      </c>
      <c r="AP39" s="38">
        <v>1628.8000000000002</v>
      </c>
      <c r="AQ39" s="38">
        <v>1960.402</v>
      </c>
      <c r="AR39" s="38">
        <v>2609.2959999999998</v>
      </c>
      <c r="AS39" s="38">
        <v>2976.5159999999996</v>
      </c>
      <c r="AT39" s="38">
        <v>3336.2400000000002</v>
      </c>
      <c r="AU39" s="38">
        <v>3983.5559999999996</v>
      </c>
      <c r="AV39" s="38">
        <v>4787.3380530973454</v>
      </c>
      <c r="AW39" s="38">
        <v>6030</v>
      </c>
      <c r="AX39" s="38">
        <v>6752</v>
      </c>
      <c r="AY39" s="38">
        <v>7472</v>
      </c>
      <c r="AZ39" s="38">
        <v>8020</v>
      </c>
      <c r="BA39" s="38">
        <v>9426</v>
      </c>
      <c r="BB39" s="38">
        <v>10971.999999999998</v>
      </c>
      <c r="BC39" s="38">
        <v>11990</v>
      </c>
      <c r="BD39" s="38">
        <v>14310</v>
      </c>
      <c r="BE39" s="38">
        <v>16286</v>
      </c>
      <c r="BF39" s="38">
        <v>17192.000000000004</v>
      </c>
      <c r="BG39" s="38">
        <v>19478</v>
      </c>
      <c r="BH39" s="38">
        <v>22128</v>
      </c>
      <c r="BI39" s="38">
        <v>23030</v>
      </c>
      <c r="BJ39" s="38">
        <v>27558</v>
      </c>
      <c r="BK39" s="38">
        <v>32266</v>
      </c>
      <c r="BL39" s="38">
        <v>39112</v>
      </c>
      <c r="BM39" s="38">
        <v>47058</v>
      </c>
      <c r="BN39" s="38">
        <v>71800</v>
      </c>
      <c r="BO39" s="38">
        <v>75390</v>
      </c>
      <c r="BP39" s="38">
        <v>78942</v>
      </c>
      <c r="BQ39" s="38">
        <v>82529</v>
      </c>
      <c r="BR39" s="38">
        <v>93960</v>
      </c>
      <c r="BS39" s="38">
        <v>100239.00000000001</v>
      </c>
      <c r="BT39" s="13">
        <v>115638</v>
      </c>
      <c r="BU39" s="13">
        <v>125323</v>
      </c>
      <c r="BV39" s="38">
        <v>119793</v>
      </c>
      <c r="BW39" s="38">
        <v>132787</v>
      </c>
      <c r="BX39" s="38">
        <v>138204</v>
      </c>
      <c r="BY39" s="38">
        <v>148448</v>
      </c>
      <c r="BZ39" s="38">
        <v>163421</v>
      </c>
      <c r="CA39" s="38">
        <v>186662</v>
      </c>
      <c r="CB39" s="38">
        <v>216491</v>
      </c>
      <c r="CC39" s="38">
        <v>266610</v>
      </c>
      <c r="CD39" s="38">
        <v>292356</v>
      </c>
    </row>
    <row r="40" spans="1:84" s="4" customFormat="1" ht="12.75" customHeight="1" x14ac:dyDescent="0.5">
      <c r="A40" s="10"/>
      <c r="B40" s="10"/>
      <c r="C40" s="28" t="s">
        <v>81</v>
      </c>
      <c r="D40" s="22"/>
      <c r="E40" s="10"/>
      <c r="F40" s="22"/>
      <c r="G40" s="10"/>
      <c r="H40" s="31"/>
      <c r="J40" s="31"/>
      <c r="Q40" s="38"/>
      <c r="R40" s="38"/>
      <c r="S40" s="38"/>
      <c r="T40" s="38"/>
      <c r="U40" s="38"/>
      <c r="V40" s="38"/>
      <c r="W40" s="38">
        <v>343.32</v>
      </c>
      <c r="X40" s="38">
        <v>327.84000000000003</v>
      </c>
      <c r="Y40" s="38">
        <v>366.26</v>
      </c>
      <c r="Z40" s="38">
        <v>374.44000000000005</v>
      </c>
      <c r="AA40" s="38">
        <v>386.70000000000005</v>
      </c>
      <c r="AB40" s="38">
        <v>404</v>
      </c>
      <c r="AC40" s="38">
        <v>491.3</v>
      </c>
      <c r="AD40" s="38">
        <v>422.59999999999997</v>
      </c>
      <c r="AE40" s="38">
        <v>390</v>
      </c>
      <c r="AF40" s="38">
        <v>431.99999999999994</v>
      </c>
      <c r="AG40" s="38">
        <v>494</v>
      </c>
      <c r="AH40" s="38">
        <v>564</v>
      </c>
      <c r="AI40" s="38">
        <v>582</v>
      </c>
      <c r="AJ40" s="38">
        <v>620</v>
      </c>
      <c r="AK40" s="38">
        <v>670</v>
      </c>
      <c r="AL40" s="38">
        <v>704</v>
      </c>
      <c r="AM40" s="38">
        <v>793.99999999999989</v>
      </c>
      <c r="AN40" s="38">
        <v>833.99999999999989</v>
      </c>
      <c r="AO40" s="38">
        <v>890</v>
      </c>
      <c r="AP40" s="38">
        <v>1036</v>
      </c>
      <c r="AQ40" s="38">
        <v>1276</v>
      </c>
      <c r="AR40" s="38">
        <v>1812</v>
      </c>
      <c r="AS40" s="38">
        <v>1993.9999999999998</v>
      </c>
      <c r="AT40" s="38">
        <v>2258</v>
      </c>
      <c r="AU40" s="38">
        <v>2744</v>
      </c>
      <c r="AV40" s="38">
        <v>3072</v>
      </c>
      <c r="AW40" s="38">
        <v>3866</v>
      </c>
      <c r="AX40" s="38">
        <v>4154</v>
      </c>
      <c r="AY40" s="38">
        <v>4546</v>
      </c>
      <c r="AZ40" s="38">
        <v>4734</v>
      </c>
      <c r="BA40" s="38">
        <v>5526</v>
      </c>
      <c r="BB40" s="38">
        <v>6408</v>
      </c>
      <c r="BC40" s="38">
        <v>7074</v>
      </c>
      <c r="BD40" s="38">
        <v>8846</v>
      </c>
      <c r="BE40" s="38">
        <v>10098</v>
      </c>
      <c r="BF40" s="38">
        <v>10284</v>
      </c>
      <c r="BG40" s="38">
        <v>11130</v>
      </c>
      <c r="BH40" s="38">
        <v>12396</v>
      </c>
      <c r="BI40" s="38">
        <v>13200</v>
      </c>
      <c r="BJ40" s="38">
        <v>14920</v>
      </c>
      <c r="BK40" s="38">
        <v>16782</v>
      </c>
      <c r="BL40" s="38">
        <v>18304</v>
      </c>
      <c r="BM40" s="38">
        <v>20818</v>
      </c>
      <c r="BN40" s="38">
        <v>25960</v>
      </c>
      <c r="BO40" s="38">
        <v>26664</v>
      </c>
      <c r="BP40" s="38">
        <v>26982</v>
      </c>
      <c r="BQ40" s="38">
        <v>26589</v>
      </c>
      <c r="BR40" s="38">
        <v>27860</v>
      </c>
      <c r="BS40" s="38">
        <v>28733</v>
      </c>
      <c r="BT40" s="13">
        <v>36158</v>
      </c>
      <c r="BU40" s="13">
        <v>39635</v>
      </c>
      <c r="BV40" s="38">
        <v>42678</v>
      </c>
      <c r="BW40" s="38">
        <v>46370</v>
      </c>
      <c r="BX40" s="38">
        <v>50741</v>
      </c>
      <c r="BY40" s="38">
        <v>57891</v>
      </c>
      <c r="BZ40" s="38">
        <v>64221</v>
      </c>
      <c r="CA40" s="38">
        <v>73172</v>
      </c>
      <c r="CB40" s="38">
        <v>88729</v>
      </c>
      <c r="CC40" s="38">
        <v>79009</v>
      </c>
      <c r="CD40" s="38">
        <v>84981</v>
      </c>
    </row>
    <row r="41" spans="1:84" s="4" customFormat="1" ht="12.75" customHeight="1" x14ac:dyDescent="0.5">
      <c r="A41" s="10"/>
      <c r="B41" s="10"/>
      <c r="C41" s="28" t="s">
        <v>82</v>
      </c>
      <c r="D41" s="22"/>
      <c r="E41" s="10"/>
      <c r="F41" s="22"/>
      <c r="G41" s="10"/>
      <c r="H41" s="31"/>
      <c r="J41" s="31"/>
      <c r="Q41" s="38"/>
      <c r="R41" s="38"/>
      <c r="S41" s="38"/>
      <c r="T41" s="38"/>
      <c r="U41" s="38"/>
      <c r="V41" s="38"/>
      <c r="W41" s="38">
        <v>46</v>
      </c>
      <c r="X41" s="38">
        <v>46</v>
      </c>
      <c r="Y41" s="38">
        <v>50</v>
      </c>
      <c r="Z41" s="38">
        <v>58</v>
      </c>
      <c r="AA41" s="38">
        <v>64</v>
      </c>
      <c r="AB41" s="38">
        <v>68</v>
      </c>
      <c r="AC41" s="38">
        <v>72</v>
      </c>
      <c r="AD41" s="38">
        <v>130</v>
      </c>
      <c r="AE41" s="38">
        <v>134</v>
      </c>
      <c r="AF41" s="38">
        <v>208</v>
      </c>
      <c r="AG41" s="38">
        <v>232</v>
      </c>
      <c r="AH41" s="38">
        <v>240</v>
      </c>
      <c r="AI41" s="38">
        <v>284</v>
      </c>
      <c r="AJ41" s="38">
        <v>290</v>
      </c>
      <c r="AK41" s="38">
        <v>318</v>
      </c>
      <c r="AL41" s="38">
        <v>150</v>
      </c>
      <c r="AM41" s="38">
        <v>152</v>
      </c>
      <c r="AN41" s="38">
        <v>178</v>
      </c>
      <c r="AO41" s="38">
        <v>184</v>
      </c>
      <c r="AP41" s="38">
        <v>212</v>
      </c>
      <c r="AQ41" s="38">
        <v>254</v>
      </c>
      <c r="AR41" s="38">
        <v>242</v>
      </c>
      <c r="AS41" s="38">
        <v>312</v>
      </c>
      <c r="AT41" s="38">
        <v>348</v>
      </c>
      <c r="AU41" s="38">
        <v>382</v>
      </c>
      <c r="AV41" s="38">
        <v>550</v>
      </c>
      <c r="AW41" s="38">
        <v>564</v>
      </c>
      <c r="AX41" s="38">
        <v>718</v>
      </c>
      <c r="AY41" s="38">
        <v>854</v>
      </c>
      <c r="AZ41" s="38">
        <v>872</v>
      </c>
      <c r="BA41" s="38">
        <v>936</v>
      </c>
      <c r="BB41" s="38">
        <v>964</v>
      </c>
      <c r="BC41" s="38">
        <v>986</v>
      </c>
      <c r="BD41" s="38">
        <v>1144</v>
      </c>
      <c r="BE41" s="38">
        <v>1366</v>
      </c>
      <c r="BF41" s="38">
        <v>1462</v>
      </c>
      <c r="BG41" s="38">
        <v>1672</v>
      </c>
      <c r="BH41" s="38">
        <v>1782</v>
      </c>
      <c r="BI41" s="38">
        <v>1882</v>
      </c>
      <c r="BJ41" s="38">
        <v>2552</v>
      </c>
      <c r="BK41" s="38">
        <v>4428</v>
      </c>
      <c r="BL41" s="38">
        <v>6238</v>
      </c>
      <c r="BM41" s="38">
        <v>7930</v>
      </c>
      <c r="BN41" s="38">
        <v>9660</v>
      </c>
      <c r="BO41" s="38">
        <v>12138</v>
      </c>
      <c r="BP41" s="38">
        <v>15040</v>
      </c>
      <c r="BQ41" s="38">
        <v>18080</v>
      </c>
      <c r="BR41" s="38">
        <v>21420</v>
      </c>
      <c r="BS41" s="38">
        <v>24640</v>
      </c>
      <c r="BT41" s="13">
        <v>27970</v>
      </c>
      <c r="BU41" s="13">
        <v>28680</v>
      </c>
      <c r="BV41" s="38">
        <v>14983</v>
      </c>
      <c r="BW41" s="38">
        <v>18237</v>
      </c>
      <c r="BX41" s="38">
        <v>10271</v>
      </c>
      <c r="BY41" s="38">
        <v>10857</v>
      </c>
      <c r="BZ41" s="38">
        <v>11355</v>
      </c>
      <c r="CA41" s="38">
        <v>11630</v>
      </c>
      <c r="CB41" s="38">
        <v>12485</v>
      </c>
      <c r="CC41" s="38">
        <v>57174</v>
      </c>
      <c r="CD41" s="38">
        <v>61968</v>
      </c>
    </row>
    <row r="42" spans="1:84" s="4" customFormat="1" ht="12.75" customHeight="1" x14ac:dyDescent="0.5">
      <c r="A42" s="10"/>
      <c r="B42" s="10"/>
      <c r="C42" s="28" t="s">
        <v>83</v>
      </c>
      <c r="D42" s="22"/>
      <c r="E42" s="10"/>
      <c r="F42" s="22"/>
      <c r="G42" s="10"/>
      <c r="H42" s="31"/>
      <c r="J42" s="31"/>
      <c r="Q42" s="38"/>
      <c r="R42" s="38"/>
      <c r="S42" s="38"/>
      <c r="T42" s="38"/>
      <c r="U42" s="38"/>
      <c r="V42" s="38"/>
      <c r="W42" s="38"/>
      <c r="X42" s="38"/>
      <c r="Y42" s="38"/>
      <c r="Z42" s="38"/>
      <c r="AA42" s="38"/>
      <c r="AB42" s="38"/>
      <c r="AC42" s="38"/>
      <c r="AD42" s="38"/>
      <c r="AE42" s="38"/>
      <c r="AF42" s="38"/>
      <c r="AG42" s="38"/>
      <c r="AH42" s="38"/>
      <c r="AI42" s="38"/>
      <c r="AJ42" s="38"/>
      <c r="AK42" s="38"/>
      <c r="AL42" s="39">
        <v>162</v>
      </c>
      <c r="AM42" s="39">
        <v>197.70132013651877</v>
      </c>
      <c r="AN42" s="39">
        <v>226.87405999999999</v>
      </c>
      <c r="AO42" s="39">
        <v>283.92</v>
      </c>
      <c r="AP42" s="39">
        <v>380.80000000000007</v>
      </c>
      <c r="AQ42" s="39">
        <v>430.40200000000004</v>
      </c>
      <c r="AR42" s="39">
        <v>555.29600000000005</v>
      </c>
      <c r="AS42" s="39">
        <v>670.51600000000008</v>
      </c>
      <c r="AT42" s="39">
        <v>730.24</v>
      </c>
      <c r="AU42" s="39">
        <v>857.55600000000004</v>
      </c>
      <c r="AV42" s="152">
        <v>1304</v>
      </c>
      <c r="AW42" s="38">
        <v>1600</v>
      </c>
      <c r="AX42" s="38">
        <v>1880</v>
      </c>
      <c r="AY42" s="38">
        <v>2072</v>
      </c>
      <c r="AZ42" s="38">
        <v>2414</v>
      </c>
      <c r="BA42" s="38">
        <v>2964</v>
      </c>
      <c r="BB42" s="38">
        <v>3600</v>
      </c>
      <c r="BC42" s="38">
        <v>3930</v>
      </c>
      <c r="BD42" s="38">
        <v>4320</v>
      </c>
      <c r="BE42" s="38">
        <v>4822</v>
      </c>
      <c r="BF42" s="38">
        <v>5446</v>
      </c>
      <c r="BG42" s="38">
        <v>6676</v>
      </c>
      <c r="BH42" s="38">
        <v>7950</v>
      </c>
      <c r="BI42" s="38">
        <v>7948</v>
      </c>
      <c r="BJ42" s="38">
        <v>10086</v>
      </c>
      <c r="BK42" s="38">
        <v>11056</v>
      </c>
      <c r="BL42" s="38">
        <v>14570</v>
      </c>
      <c r="BM42" s="38">
        <v>18310</v>
      </c>
      <c r="BN42" s="38">
        <v>36180</v>
      </c>
      <c r="BO42" s="38">
        <v>36588</v>
      </c>
      <c r="BP42" s="38">
        <v>36920</v>
      </c>
      <c r="BQ42" s="38">
        <v>37860</v>
      </c>
      <c r="BR42" s="38">
        <v>44680</v>
      </c>
      <c r="BS42" s="38">
        <v>46866</v>
      </c>
      <c r="BT42" s="13">
        <v>51510</v>
      </c>
      <c r="BU42" s="13">
        <v>57008</v>
      </c>
      <c r="BV42" s="38">
        <v>62132</v>
      </c>
      <c r="BW42" s="38">
        <v>68180</v>
      </c>
      <c r="BX42" s="38">
        <v>77192</v>
      </c>
      <c r="BY42" s="38">
        <v>79700</v>
      </c>
      <c r="BZ42" s="38">
        <v>87845</v>
      </c>
      <c r="CA42" s="38">
        <v>101860</v>
      </c>
      <c r="CB42" s="38">
        <v>115277</v>
      </c>
      <c r="CC42" s="38">
        <v>130427</v>
      </c>
      <c r="CD42" s="38">
        <v>145407</v>
      </c>
    </row>
    <row r="43" spans="1:84" s="4" customFormat="1" ht="12.75" customHeight="1" x14ac:dyDescent="0.5">
      <c r="A43" s="10"/>
      <c r="B43" s="10"/>
      <c r="C43" s="28" t="s">
        <v>84</v>
      </c>
      <c r="D43" s="22"/>
      <c r="E43" s="10"/>
      <c r="F43" s="22"/>
      <c r="G43" s="10"/>
      <c r="H43" s="31"/>
      <c r="J43" s="31"/>
      <c r="Q43" s="38"/>
      <c r="R43" s="38"/>
      <c r="S43" s="38"/>
      <c r="T43" s="38"/>
      <c r="U43" s="38"/>
      <c r="V43" s="38"/>
      <c r="W43" s="38">
        <v>142.67999999999998</v>
      </c>
      <c r="X43" s="38">
        <v>146.16</v>
      </c>
      <c r="Y43" s="38">
        <v>175.73999999999998</v>
      </c>
      <c r="Z43" s="38">
        <v>163.56</v>
      </c>
      <c r="AA43" s="38">
        <v>165.3</v>
      </c>
      <c r="AB43" s="38">
        <v>174</v>
      </c>
      <c r="AC43" s="38">
        <v>182.7</v>
      </c>
      <c r="AD43" s="38">
        <v>191.4</v>
      </c>
      <c r="AE43" s="38">
        <v>232</v>
      </c>
      <c r="AF43" s="38">
        <v>260</v>
      </c>
      <c r="AG43" s="38">
        <v>299.99999999999994</v>
      </c>
      <c r="AH43" s="38">
        <v>354</v>
      </c>
      <c r="AI43" s="38">
        <v>391.99999999999994</v>
      </c>
      <c r="AJ43" s="38">
        <v>431.99999999999989</v>
      </c>
      <c r="AK43" s="38">
        <v>450.00000000000023</v>
      </c>
      <c r="AL43" s="38">
        <v>532</v>
      </c>
      <c r="AM43" s="38">
        <v>616.29867986348108</v>
      </c>
      <c r="AN43" s="38">
        <v>671.12594000000013</v>
      </c>
      <c r="AO43" s="38">
        <v>818.07999999999993</v>
      </c>
      <c r="AP43" s="38">
        <v>911.19999999999982</v>
      </c>
      <c r="AQ43" s="38">
        <v>1007.5980000000002</v>
      </c>
      <c r="AR43" s="38">
        <v>1246.704</v>
      </c>
      <c r="AS43" s="38">
        <v>1253.4839999999999</v>
      </c>
      <c r="AT43" s="38">
        <v>1383.76</v>
      </c>
      <c r="AU43" s="38">
        <v>1464.4439999999997</v>
      </c>
      <c r="AV43" s="152">
        <v>1368</v>
      </c>
      <c r="AW43" s="38">
        <v>1782</v>
      </c>
      <c r="AX43" s="38">
        <v>1806.0000000000002</v>
      </c>
      <c r="AY43" s="38">
        <v>2142</v>
      </c>
      <c r="AZ43" s="38">
        <v>2486</v>
      </c>
      <c r="BA43" s="38">
        <v>2798</v>
      </c>
      <c r="BB43" s="38">
        <v>3032</v>
      </c>
      <c r="BC43" s="38">
        <v>3104</v>
      </c>
      <c r="BD43" s="38">
        <v>3586</v>
      </c>
      <c r="BE43" s="38">
        <v>3940</v>
      </c>
      <c r="BF43" s="38">
        <v>4882</v>
      </c>
      <c r="BG43" s="38">
        <v>5200</v>
      </c>
      <c r="BH43" s="38">
        <v>5634</v>
      </c>
      <c r="BI43" s="38">
        <v>6126</v>
      </c>
      <c r="BJ43" s="38">
        <v>7108</v>
      </c>
      <c r="BK43" s="38">
        <v>8468</v>
      </c>
      <c r="BL43" s="38">
        <v>10170</v>
      </c>
      <c r="BM43" s="38">
        <v>11870</v>
      </c>
      <c r="BN43" s="38">
        <v>13940</v>
      </c>
      <c r="BO43" s="152">
        <v>17886</v>
      </c>
      <c r="BP43" s="152">
        <v>23675</v>
      </c>
      <c r="BQ43" s="38">
        <v>27918</v>
      </c>
      <c r="BR43" s="38">
        <v>33108</v>
      </c>
      <c r="BS43" s="38">
        <v>37561</v>
      </c>
      <c r="BT43" s="13">
        <v>41828</v>
      </c>
      <c r="BU43" s="13">
        <v>43307</v>
      </c>
      <c r="BV43" s="38">
        <v>43964</v>
      </c>
      <c r="BW43" s="38">
        <v>43012</v>
      </c>
      <c r="BX43" s="38">
        <v>46949</v>
      </c>
      <c r="BY43" s="38">
        <v>51575</v>
      </c>
      <c r="BZ43" s="38">
        <v>52522</v>
      </c>
      <c r="CA43" s="38">
        <v>55975</v>
      </c>
      <c r="CB43" s="38">
        <v>63971</v>
      </c>
      <c r="CC43" s="38">
        <v>66218</v>
      </c>
      <c r="CD43" s="38">
        <v>76966</v>
      </c>
    </row>
    <row r="44" spans="1:84" s="4" customFormat="1" ht="12.75" customHeight="1" x14ac:dyDescent="0.5">
      <c r="A44" s="10"/>
      <c r="B44" s="10"/>
      <c r="C44" s="28" t="s">
        <v>85</v>
      </c>
      <c r="D44" s="22"/>
      <c r="E44" s="10"/>
      <c r="F44" s="22"/>
      <c r="G44" s="10"/>
      <c r="H44" s="31"/>
      <c r="J44" s="31"/>
      <c r="Q44" s="38"/>
      <c r="R44" s="38"/>
      <c r="S44" s="38"/>
      <c r="T44" s="38"/>
      <c r="U44" s="38"/>
      <c r="V44" s="38"/>
      <c r="W44" s="38"/>
      <c r="X44" s="38"/>
      <c r="Y44" s="38"/>
      <c r="Z44" s="38"/>
      <c r="AA44" s="38"/>
      <c r="AB44" s="38"/>
      <c r="AC44" s="38"/>
      <c r="AD44" s="38"/>
      <c r="AE44" s="38"/>
      <c r="AF44" s="38"/>
      <c r="AG44" s="38"/>
      <c r="AH44" s="38"/>
      <c r="AI44" s="38"/>
      <c r="AJ44" s="38"/>
      <c r="AK44" s="38"/>
      <c r="AL44" s="38">
        <v>38</v>
      </c>
      <c r="AM44" s="38">
        <v>52</v>
      </c>
      <c r="AN44" s="38">
        <v>80</v>
      </c>
      <c r="AO44" s="38">
        <v>104</v>
      </c>
      <c r="AP44" s="38">
        <v>118</v>
      </c>
      <c r="AQ44" s="38">
        <v>168</v>
      </c>
      <c r="AR44" s="38">
        <v>162</v>
      </c>
      <c r="AS44" s="38">
        <v>200</v>
      </c>
      <c r="AT44" s="38">
        <v>270</v>
      </c>
      <c r="AU44" s="38">
        <v>336</v>
      </c>
      <c r="AV44" s="38">
        <v>450</v>
      </c>
      <c r="AW44" s="38">
        <v>526</v>
      </c>
      <c r="AX44" s="38">
        <v>586</v>
      </c>
      <c r="AY44" s="38">
        <v>656</v>
      </c>
      <c r="AZ44" s="38">
        <v>844</v>
      </c>
      <c r="BA44" s="38">
        <v>920</v>
      </c>
      <c r="BB44" s="38">
        <v>1072</v>
      </c>
      <c r="BC44" s="38">
        <v>1162</v>
      </c>
      <c r="BD44" s="38">
        <v>1364</v>
      </c>
      <c r="BE44" s="38">
        <v>1828</v>
      </c>
      <c r="BF44" s="38">
        <v>2186</v>
      </c>
      <c r="BG44" s="38">
        <v>2384</v>
      </c>
      <c r="BH44" s="38">
        <v>2570</v>
      </c>
      <c r="BI44" s="38">
        <v>2852</v>
      </c>
      <c r="BJ44" s="38">
        <v>3472</v>
      </c>
      <c r="BK44" s="38">
        <v>4436</v>
      </c>
      <c r="BL44" s="38">
        <v>5940</v>
      </c>
      <c r="BM44" s="38">
        <v>7160</v>
      </c>
      <c r="BN44" s="38">
        <v>8240</v>
      </c>
      <c r="BO44" s="38">
        <v>9640</v>
      </c>
      <c r="BP44" s="38">
        <v>14380</v>
      </c>
      <c r="BQ44" s="38">
        <v>17180</v>
      </c>
      <c r="BR44" s="38">
        <v>20500</v>
      </c>
      <c r="BS44" s="38">
        <v>23522</v>
      </c>
      <c r="BT44" s="13">
        <v>26529</v>
      </c>
      <c r="BU44" s="13">
        <v>27519</v>
      </c>
      <c r="BV44" s="38">
        <v>27936</v>
      </c>
      <c r="BW44" s="38">
        <v>27331</v>
      </c>
      <c r="BX44" s="38">
        <v>29860</v>
      </c>
      <c r="BY44" s="38">
        <v>32803</v>
      </c>
      <c r="BZ44" s="38">
        <v>33405</v>
      </c>
      <c r="CA44" s="38">
        <v>35601</v>
      </c>
      <c r="CB44" s="38">
        <v>40687</v>
      </c>
      <c r="CC44" s="38">
        <v>42116</v>
      </c>
      <c r="CD44" s="38">
        <v>48951</v>
      </c>
    </row>
    <row r="45" spans="1:84" s="7" customFormat="1" ht="12.75" customHeight="1" x14ac:dyDescent="0.5">
      <c r="A45" s="7" t="s">
        <v>62</v>
      </c>
      <c r="C45" s="42" t="s">
        <v>97</v>
      </c>
      <c r="D45" s="42"/>
      <c r="E45" s="43"/>
      <c r="G45" s="43"/>
      <c r="I45" s="43"/>
      <c r="K45" s="43"/>
      <c r="Q45" s="9"/>
      <c r="R45" s="9"/>
      <c r="S45" s="9"/>
      <c r="T45" s="9"/>
      <c r="U45" s="9"/>
      <c r="V45" s="9"/>
      <c r="W45" s="9"/>
      <c r="X45" s="9"/>
      <c r="Y45" s="9"/>
      <c r="Z45" s="9"/>
      <c r="AA45" s="9"/>
      <c r="AB45" s="9"/>
      <c r="AC45" s="9"/>
      <c r="AD45" s="9"/>
      <c r="AE45" s="9"/>
      <c r="AF45" s="9"/>
      <c r="AG45" s="9"/>
      <c r="AH45" s="159"/>
      <c r="AI45" s="159"/>
      <c r="AJ45" s="159"/>
      <c r="AK45" s="159"/>
      <c r="AL45" s="159"/>
      <c r="AM45" s="159"/>
      <c r="AN45" s="159"/>
      <c r="AO45" s="159"/>
      <c r="AP45" s="159"/>
      <c r="AQ45" s="159"/>
      <c r="AR45" s="159"/>
      <c r="AS45" s="159"/>
      <c r="AT45" s="159"/>
      <c r="AU45" s="159"/>
      <c r="AV45" s="159"/>
      <c r="AW45" s="159"/>
      <c r="AX45" s="15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row>
    <row r="46" spans="1:84" s="4" customFormat="1" ht="12.75" customHeight="1" x14ac:dyDescent="0.5">
      <c r="A46" s="26" t="s">
        <v>98</v>
      </c>
      <c r="B46" s="4" t="s">
        <v>99</v>
      </c>
      <c r="C46" s="22" t="s">
        <v>100</v>
      </c>
      <c r="M46" s="10"/>
      <c r="N46" s="10"/>
      <c r="O46" s="45">
        <v>59.931506849315063</v>
      </c>
      <c r="P46" s="45">
        <v>62.671232876712324</v>
      </c>
      <c r="Q46" s="152">
        <v>64.041095890410958</v>
      </c>
      <c r="R46" s="152">
        <v>69.520547945205479</v>
      </c>
      <c r="S46" s="152">
        <v>77.054794520547944</v>
      </c>
      <c r="T46" s="152">
        <v>82.191780821917803</v>
      </c>
      <c r="U46" s="152">
        <v>84.93150684931507</v>
      </c>
      <c r="V46" s="152">
        <v>92.123287671232873</v>
      </c>
      <c r="W46" s="152">
        <v>94.178082191780817</v>
      </c>
      <c r="X46" s="152">
        <v>95.547945205479451</v>
      </c>
      <c r="Y46" s="152">
        <v>98.630136986301366</v>
      </c>
      <c r="Z46" s="152">
        <v>98.630136986301366</v>
      </c>
      <c r="AA46" s="152">
        <v>99.315068493150676</v>
      </c>
      <c r="AB46" s="38">
        <v>100</v>
      </c>
      <c r="AC46" s="38">
        <v>102.45700245700252</v>
      </c>
      <c r="AD46" s="38">
        <v>105.65110565110567</v>
      </c>
      <c r="AE46" s="38">
        <v>106.38820638820631</v>
      </c>
      <c r="AF46" s="38">
        <v>106.2825577214218</v>
      </c>
      <c r="AG46" s="38">
        <v>110.08590968869025</v>
      </c>
      <c r="AH46" s="38">
        <v>115.60605247271984</v>
      </c>
      <c r="AI46" s="38">
        <v>117.63978928772181</v>
      </c>
      <c r="AJ46" s="38">
        <v>118.07118800602352</v>
      </c>
      <c r="AK46" s="38">
        <v>117.86869473013309</v>
      </c>
      <c r="AL46" s="38">
        <v>120.44828298490611</v>
      </c>
      <c r="AM46" s="38">
        <v>125.00147635629975</v>
      </c>
      <c r="AN46" s="38">
        <v>132.29111838104185</v>
      </c>
      <c r="AO46" s="38">
        <v>144.56931401818994</v>
      </c>
      <c r="AP46" s="38">
        <v>170.31703371675698</v>
      </c>
      <c r="AQ46" s="38">
        <v>202.88196396991475</v>
      </c>
      <c r="AR46" s="38">
        <v>226.1099818901867</v>
      </c>
      <c r="AS46" s="38">
        <v>259.62166199614722</v>
      </c>
      <c r="AT46" s="38">
        <v>303.58023701991652</v>
      </c>
      <c r="AU46" s="38">
        <v>327.80397461177688</v>
      </c>
      <c r="AV46" s="38">
        <v>373.23164423427141</v>
      </c>
      <c r="AW46" s="38">
        <v>416.53791135152949</v>
      </c>
      <c r="AX46" s="38">
        <v>502.62261296744379</v>
      </c>
      <c r="AY46" s="38">
        <v>559.91044637976279</v>
      </c>
      <c r="AZ46" s="38">
        <v>617.49218659107726</v>
      </c>
      <c r="BA46" s="38">
        <v>697.80671798998162</v>
      </c>
      <c r="BB46" s="38">
        <v>715.49106609313424</v>
      </c>
      <c r="BC46" s="38">
        <v>777.2928460844812</v>
      </c>
      <c r="BD46" s="38">
        <v>872.62752643271972</v>
      </c>
      <c r="BE46" s="38">
        <v>992.95690469362671</v>
      </c>
      <c r="BF46" s="38">
        <v>1169.5226588553248</v>
      </c>
      <c r="BG46" s="38">
        <v>1404.4153855271616</v>
      </c>
      <c r="BH46" s="38">
        <v>1788.2753170573085</v>
      </c>
      <c r="BI46" s="38">
        <v>2610.5043024690553</v>
      </c>
      <c r="BJ46" s="38">
        <v>3362.7051782869685</v>
      </c>
      <c r="BK46" s="38">
        <v>3414.9726518293592</v>
      </c>
      <c r="BL46" s="38">
        <v>3717.6788129123288</v>
      </c>
      <c r="BM46" s="38">
        <v>4140.075719113609</v>
      </c>
      <c r="BN46" s="38">
        <v>4418.3896806950688</v>
      </c>
      <c r="BO46" s="38">
        <v>4672.0936645509983</v>
      </c>
      <c r="BP46" s="38">
        <v>5138.369787468725</v>
      </c>
      <c r="BQ46" s="38">
        <v>5433.2401806941862</v>
      </c>
      <c r="BR46" s="38">
        <v>5539.8027668287623</v>
      </c>
      <c r="BS46" s="38">
        <v>6083.5726679215832</v>
      </c>
      <c r="BT46" s="38">
        <v>6790.7293172006202</v>
      </c>
      <c r="BU46" s="38">
        <v>7491.0421805391361</v>
      </c>
      <c r="BV46" s="38">
        <v>8573.7775067362218</v>
      </c>
      <c r="BW46" s="38">
        <v>9410.4821848288939</v>
      </c>
      <c r="BX46" s="38">
        <v>11879.775455491923</v>
      </c>
      <c r="BY46" s="38">
        <v>12976.768880534139</v>
      </c>
      <c r="BZ46" s="38">
        <v>13490.829161398333</v>
      </c>
      <c r="CA46" s="38">
        <v>15382.452504030785</v>
      </c>
      <c r="CB46" s="38">
        <v>16825.079791510416</v>
      </c>
      <c r="CC46" s="38">
        <v>17787.183968126537</v>
      </c>
      <c r="CD46" s="38">
        <v>19010.497206989094</v>
      </c>
      <c r="CE46" s="24">
        <v>20261.846250426286</v>
      </c>
    </row>
    <row r="47" spans="1:84" ht="12.75" customHeight="1" x14ac:dyDescent="0.5">
      <c r="A47" s="26" t="s">
        <v>98</v>
      </c>
      <c r="B47" s="4" t="s">
        <v>99</v>
      </c>
      <c r="C47" s="22" t="s">
        <v>101</v>
      </c>
      <c r="O47" s="32">
        <v>0.44423886873312929</v>
      </c>
      <c r="P47" s="32">
        <v>0.46454693130378655</v>
      </c>
      <c r="Q47" s="41">
        <v>0.47470096258911532</v>
      </c>
      <c r="R47" s="41">
        <v>0.51531708773042995</v>
      </c>
      <c r="S47" s="41">
        <v>0.57116425979973773</v>
      </c>
      <c r="T47" s="41">
        <v>0.60924187711972011</v>
      </c>
      <c r="U47" s="41">
        <v>0.62954993969037754</v>
      </c>
      <c r="V47" s="41">
        <v>0.68285860393835307</v>
      </c>
      <c r="W47" s="41">
        <v>0.698089650866346</v>
      </c>
      <c r="X47" s="41">
        <v>0.70824368215167466</v>
      </c>
      <c r="Y47" s="41">
        <v>0.73109025254366422</v>
      </c>
      <c r="Z47" s="41">
        <v>0.73109025254366422</v>
      </c>
      <c r="AA47" s="41">
        <v>0.73616726818632849</v>
      </c>
      <c r="AB47" s="41">
        <v>0.74124428382899288</v>
      </c>
      <c r="AC47" s="41">
        <v>0.75945667409506201</v>
      </c>
      <c r="AD47" s="41">
        <v>0.78313278144095078</v>
      </c>
      <c r="AE47" s="41">
        <v>0.78859649852077074</v>
      </c>
      <c r="AF47" s="41">
        <v>0.78781338381728894</v>
      </c>
      <c r="AG47" s="41">
        <v>0.81600551286856393</v>
      </c>
      <c r="AH47" s="41">
        <v>0.85692325571438188</v>
      </c>
      <c r="AI47" s="41">
        <v>0.87199821360370977</v>
      </c>
      <c r="AJ47" s="41">
        <v>0.87519593194363288</v>
      </c>
      <c r="AK47" s="41">
        <v>0.87369496211095687</v>
      </c>
      <c r="AL47" s="41">
        <v>0.89281601259578602</v>
      </c>
      <c r="AM47" s="41">
        <v>0.92656629819292191</v>
      </c>
      <c r="AN47" s="41">
        <v>0.98060035301291892</v>
      </c>
      <c r="AO47" s="41">
        <v>1.0716117763306199</v>
      </c>
      <c r="AP47" s="41">
        <v>1.2624652768125597</v>
      </c>
      <c r="AQ47" s="41">
        <v>1.5038509608469899</v>
      </c>
      <c r="AR47" s="41">
        <v>1.6760273159277799</v>
      </c>
      <c r="AS47" s="41">
        <v>1.9244307291282701</v>
      </c>
      <c r="AT47" s="41">
        <v>2.2502711537446394</v>
      </c>
      <c r="AU47" s="41">
        <v>2.429828223974039</v>
      </c>
      <c r="AV47" s="41">
        <v>2.7665582283274999</v>
      </c>
      <c r="AW47" s="41">
        <v>3.0875634578738897</v>
      </c>
      <c r="AX47" s="41">
        <v>3.7256613878530991</v>
      </c>
      <c r="AY47" s="41">
        <v>4.1503041783513899</v>
      </c>
      <c r="AZ47" s="41">
        <v>4.5771255361970198</v>
      </c>
      <c r="BA47" s="41">
        <v>5.1724524092754391</v>
      </c>
      <c r="BB47" s="41">
        <v>5.3035366287224797</v>
      </c>
      <c r="BC47" s="41">
        <v>5.761638790212908</v>
      </c>
      <c r="BD47" s="41">
        <v>6.4683016588008693</v>
      </c>
      <c r="BE47" s="41">
        <v>7.3602362969268089</v>
      </c>
      <c r="BF47" s="41">
        <v>8.6690198568499479</v>
      </c>
      <c r="BG47" s="41">
        <v>10.410148766434999</v>
      </c>
      <c r="BH47" s="41">
        <v>13.255488566812099</v>
      </c>
      <c r="BI47" s="41">
        <v>19.350213921161796</v>
      </c>
      <c r="BJ47" s="41">
        <v>24.925859916073698</v>
      </c>
      <c r="BK47" s="41">
        <v>25.313289576008501</v>
      </c>
      <c r="BL47" s="41">
        <v>27.557081691834195</v>
      </c>
      <c r="BM47" s="41">
        <v>30.688074614121696</v>
      </c>
      <c r="BN47" s="41">
        <v>32.751060945442291</v>
      </c>
      <c r="BO47" s="41">
        <v>34.631627223620796</v>
      </c>
      <c r="BP47" s="41">
        <v>38.087872331607898</v>
      </c>
      <c r="BQ47" s="41">
        <v>40.273582266095701</v>
      </c>
      <c r="BR47" s="41">
        <v>41.063471344518589</v>
      </c>
      <c r="BS47" s="41">
        <v>45.094134653551691</v>
      </c>
      <c r="BT47" s="41">
        <v>50.335892894049195</v>
      </c>
      <c r="BU47" s="41">
        <v>55.526921962465096</v>
      </c>
      <c r="BV47" s="41">
        <v>63.552635676898191</v>
      </c>
      <c r="BW47" s="41">
        <v>69.7546612757899</v>
      </c>
      <c r="BX47" s="41">
        <v>88.05815649555359</v>
      </c>
      <c r="BY47" s="41">
        <v>96.189557552658883</v>
      </c>
      <c r="BZ47" s="41">
        <v>100</v>
      </c>
      <c r="CA47" s="41">
        <v>114.02154989883797</v>
      </c>
      <c r="CB47" s="41">
        <v>124.714942204238</v>
      </c>
      <c r="CC47" s="41">
        <v>131.84648441788499</v>
      </c>
      <c r="CD47" s="41">
        <v>140.91422387427701</v>
      </c>
      <c r="CE47" s="163">
        <v>150.18977712950397</v>
      </c>
      <c r="CF47" s="4"/>
    </row>
    <row r="48" spans="1:84" s="4" customFormat="1" ht="12.75" customHeight="1" x14ac:dyDescent="0.5">
      <c r="A48" s="4" t="s">
        <v>102</v>
      </c>
      <c r="B48" s="4" t="s">
        <v>103</v>
      </c>
      <c r="C48" s="4" t="s">
        <v>104</v>
      </c>
      <c r="Q48" s="38"/>
      <c r="R48" s="38"/>
      <c r="S48" s="38"/>
      <c r="T48" s="38"/>
      <c r="U48" s="38"/>
      <c r="V48" s="38"/>
      <c r="W48" s="38"/>
      <c r="X48" s="38"/>
      <c r="Y48" s="38"/>
      <c r="Z48" s="38"/>
      <c r="AA48" s="38"/>
      <c r="AB48" s="38">
        <v>7.1428600061428602</v>
      </c>
      <c r="AC48" s="38">
        <v>7.1428600061428602</v>
      </c>
      <c r="AD48" s="38">
        <v>7.1428600061428602</v>
      </c>
      <c r="AE48" s="38">
        <v>7.1428600061428602</v>
      </c>
      <c r="AF48" s="38">
        <v>7.1428600061428602</v>
      </c>
      <c r="AG48" s="38">
        <v>7.1428600061428602</v>
      </c>
      <c r="AH48" s="38">
        <v>7.1428600061428602</v>
      </c>
      <c r="AI48" s="38">
        <v>7.1428600061428602</v>
      </c>
      <c r="AJ48" s="38">
        <v>7.1428600061428602</v>
      </c>
      <c r="AK48" s="38">
        <v>7.1428600061428602</v>
      </c>
      <c r="AL48" s="38">
        <v>7.1428600061428602</v>
      </c>
      <c r="AM48" s="38">
        <v>7.1428599977626002</v>
      </c>
      <c r="AN48" s="38">
        <v>7.1428599989999997</v>
      </c>
      <c r="AO48" s="38">
        <v>7.0203836880377004</v>
      </c>
      <c r="AP48" s="38">
        <v>7.1348111007360204</v>
      </c>
      <c r="AQ48" s="38">
        <v>7.34319333233333</v>
      </c>
      <c r="AR48" s="38">
        <v>8.3671449991666709</v>
      </c>
      <c r="AS48" s="38">
        <v>8.2765608324166706</v>
      </c>
      <c r="AT48" s="38">
        <v>7.7293833323333301</v>
      </c>
      <c r="AU48" s="38">
        <v>7.4753091656666699</v>
      </c>
      <c r="AV48" s="38">
        <v>7.4201874989999999</v>
      </c>
      <c r="AW48" s="38">
        <v>9.0474983325833307</v>
      </c>
      <c r="AX48" s="38">
        <v>10.9223249994167</v>
      </c>
      <c r="AY48" s="38">
        <v>13.311516665916701</v>
      </c>
      <c r="AZ48" s="38">
        <v>14.4138749994167</v>
      </c>
      <c r="BA48" s="38">
        <v>16.432116666500001</v>
      </c>
      <c r="BB48" s="38">
        <v>16.225741666499999</v>
      </c>
      <c r="BC48" s="38">
        <v>16.454491666666701</v>
      </c>
      <c r="BD48" s="38">
        <v>17.7471</v>
      </c>
      <c r="BE48" s="38">
        <v>20.572466666666699</v>
      </c>
      <c r="BF48" s="38">
        <v>22.914766666666701</v>
      </c>
      <c r="BG48" s="38">
        <v>27.5078666666667</v>
      </c>
      <c r="BH48" s="38">
        <v>32.216833333333298</v>
      </c>
      <c r="BI48" s="38">
        <v>58.001333333333299</v>
      </c>
      <c r="BJ48" s="38">
        <v>56.050575000000002</v>
      </c>
      <c r="BK48" s="38">
        <v>51.429833333333299</v>
      </c>
      <c r="BL48" s="38">
        <v>57.1148666666667</v>
      </c>
      <c r="BM48" s="38">
        <v>58.731841666666703</v>
      </c>
      <c r="BN48" s="38">
        <v>60.366700000000002</v>
      </c>
      <c r="BO48" s="38">
        <v>70.326216666666696</v>
      </c>
      <c r="BP48" s="38">
        <v>76.175541666666703</v>
      </c>
      <c r="BQ48" s="38">
        <v>78.563194999999993</v>
      </c>
      <c r="BR48" s="38">
        <v>78.749141666666702</v>
      </c>
      <c r="BS48" s="38">
        <v>75.935569444444397</v>
      </c>
      <c r="BT48" s="38">
        <v>79.173876064213601</v>
      </c>
      <c r="BU48" s="38">
        <v>75.554109451431103</v>
      </c>
      <c r="BV48" s="38">
        <v>72.100835017862096</v>
      </c>
      <c r="BW48" s="38">
        <v>67.317638124285693</v>
      </c>
      <c r="BX48" s="38">
        <v>69.175319816225993</v>
      </c>
      <c r="BY48" s="38">
        <v>77.352012297578995</v>
      </c>
      <c r="BZ48" s="38">
        <v>79.233151704545506</v>
      </c>
      <c r="CA48" s="38">
        <v>88.810769971045602</v>
      </c>
      <c r="CB48" s="38">
        <v>84.529601757352907</v>
      </c>
      <c r="CC48" s="38">
        <v>86.122878898265398</v>
      </c>
      <c r="CD48" s="38">
        <v>87.922163808972698</v>
      </c>
      <c r="CE48" s="24"/>
    </row>
    <row r="49" spans="1:83" s="4" customFormat="1" ht="12.75" customHeight="1" x14ac:dyDescent="0.5">
      <c r="C49" s="31" t="s">
        <v>105</v>
      </c>
      <c r="D49" s="31"/>
      <c r="F49" s="31"/>
      <c r="H49" s="31"/>
      <c r="J49" s="31"/>
      <c r="N49" s="4">
        <v>22</v>
      </c>
      <c r="Q49" s="38"/>
      <c r="R49" s="38"/>
      <c r="S49" s="38">
        <v>47</v>
      </c>
      <c r="T49" s="38">
        <v>52</v>
      </c>
      <c r="U49" s="38">
        <v>61</v>
      </c>
      <c r="V49" s="38">
        <v>62</v>
      </c>
      <c r="W49" s="38">
        <v>72</v>
      </c>
      <c r="X49" s="38">
        <v>74</v>
      </c>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8"/>
      <c r="BK49" s="38"/>
      <c r="BL49" s="38"/>
      <c r="BM49" s="38"/>
      <c r="BN49" s="38"/>
      <c r="BO49" s="38"/>
      <c r="BP49" s="38"/>
      <c r="BQ49" s="38"/>
      <c r="BR49" s="38"/>
      <c r="BS49" s="38"/>
      <c r="BT49" s="38"/>
      <c r="BU49" s="38"/>
      <c r="BV49" s="38"/>
      <c r="BW49" s="38"/>
      <c r="BX49" s="38"/>
      <c r="BY49" s="38"/>
      <c r="BZ49" s="38"/>
      <c r="CA49" s="38"/>
      <c r="CB49" s="38"/>
      <c r="CC49" s="38"/>
      <c r="CD49" s="38"/>
      <c r="CE49" s="24"/>
    </row>
    <row r="50" spans="1:83" s="4" customFormat="1" ht="12.75" customHeight="1" x14ac:dyDescent="0.5">
      <c r="C50" s="31" t="s">
        <v>106</v>
      </c>
      <c r="D50" s="31"/>
      <c r="F50" s="31"/>
      <c r="H50" s="31"/>
      <c r="J50" s="31"/>
      <c r="N50" s="4">
        <v>23</v>
      </c>
      <c r="Q50" s="38"/>
      <c r="R50" s="38"/>
      <c r="S50" s="38">
        <v>38</v>
      </c>
      <c r="T50" s="38">
        <v>44</v>
      </c>
      <c r="U50" s="38">
        <v>49</v>
      </c>
      <c r="V50" s="38">
        <v>56</v>
      </c>
      <c r="W50" s="38"/>
      <c r="X50" s="38">
        <v>68</v>
      </c>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24"/>
    </row>
    <row r="51" spans="1:83" s="4" customFormat="1" ht="12.75" customHeight="1" x14ac:dyDescent="0.5">
      <c r="C51" s="31" t="s">
        <v>107</v>
      </c>
      <c r="D51" s="31"/>
      <c r="F51" s="31"/>
      <c r="H51" s="31"/>
      <c r="J51" s="31"/>
      <c r="N51" s="4">
        <v>13</v>
      </c>
      <c r="Q51" s="38"/>
      <c r="R51" s="38"/>
      <c r="S51" s="38">
        <v>20</v>
      </c>
      <c r="T51" s="38">
        <v>22</v>
      </c>
      <c r="U51" s="38">
        <v>24</v>
      </c>
      <c r="V51" s="38">
        <v>25</v>
      </c>
      <c r="W51" s="38">
        <v>31</v>
      </c>
      <c r="X51" s="38">
        <v>32</v>
      </c>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24"/>
    </row>
    <row r="52" spans="1:83" s="4" customFormat="1" ht="12.75" customHeight="1" x14ac:dyDescent="0.5">
      <c r="A52" s="4" t="s">
        <v>108</v>
      </c>
      <c r="C52" s="31" t="s">
        <v>109</v>
      </c>
      <c r="N52" s="4">
        <v>64</v>
      </c>
      <c r="O52" s="4">
        <v>62</v>
      </c>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24"/>
    </row>
    <row r="53" spans="1:83" s="4" customFormat="1" ht="12.75" customHeight="1" x14ac:dyDescent="0.5">
      <c r="C53" s="31"/>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24"/>
    </row>
    <row r="54" spans="1:83" s="4" customFormat="1" ht="12.75" customHeight="1" x14ac:dyDescent="0.5">
      <c r="A54" s="26" t="s">
        <v>98</v>
      </c>
      <c r="B54" s="4" t="s">
        <v>103</v>
      </c>
      <c r="C54" s="4" t="s">
        <v>110</v>
      </c>
      <c r="Q54" s="38"/>
      <c r="R54" s="38"/>
      <c r="S54" s="38"/>
      <c r="T54" s="38"/>
      <c r="U54" s="38"/>
      <c r="V54" s="38"/>
      <c r="W54" s="38"/>
      <c r="X54" s="38"/>
      <c r="Y54" s="38"/>
      <c r="Z54" s="38"/>
      <c r="AA54" s="38"/>
      <c r="AB54" s="38">
        <v>13.572165966081</v>
      </c>
      <c r="AC54" s="38">
        <v>13.718091436812999</v>
      </c>
      <c r="AD54" s="38">
        <v>13.8711951358863</v>
      </c>
      <c r="AE54" s="38">
        <v>14.03960920502</v>
      </c>
      <c r="AF54" s="38">
        <v>14.2233336439079</v>
      </c>
      <c r="AG54" s="38">
        <v>14.4606443773949</v>
      </c>
      <c r="AH54" s="38">
        <v>14.8931623272897</v>
      </c>
      <c r="AI54" s="38">
        <v>15.3065423148003</v>
      </c>
      <c r="AJ54" s="38">
        <v>15.9521295791623</v>
      </c>
      <c r="AK54" s="38">
        <v>16.815889614843801</v>
      </c>
      <c r="AL54" s="38">
        <v>17.807236066304998</v>
      </c>
      <c r="AM54" s="38">
        <v>18.565099376692402</v>
      </c>
      <c r="AN54" s="38">
        <v>19.178790037182701</v>
      </c>
      <c r="AO54" s="38">
        <v>20.371723025782501</v>
      </c>
      <c r="AP54" s="38">
        <v>22.619795673841999</v>
      </c>
      <c r="AQ54" s="38">
        <v>24.685419747108501</v>
      </c>
      <c r="AR54" s="38">
        <v>26.101628963574701</v>
      </c>
      <c r="AS54" s="38">
        <v>27.794700702480601</v>
      </c>
      <c r="AT54" s="38">
        <v>29.920290391293999</v>
      </c>
      <c r="AU54" s="38">
        <v>33.291123499211501</v>
      </c>
      <c r="AV54" s="38">
        <v>37.788544659501802</v>
      </c>
      <c r="AW54" s="38">
        <v>41.686634824620299</v>
      </c>
      <c r="AX54" s="38">
        <v>44.254788345168997</v>
      </c>
      <c r="AY54" s="38">
        <v>45.6764447583299</v>
      </c>
      <c r="AZ54" s="38">
        <v>47.6484197830369</v>
      </c>
      <c r="BA54" s="38">
        <v>49.345235501970798</v>
      </c>
      <c r="BB54" s="38">
        <v>50.262433187881101</v>
      </c>
      <c r="BC54" s="38">
        <v>52.142688443997102</v>
      </c>
      <c r="BD54" s="38">
        <v>54.2331348364673</v>
      </c>
      <c r="BE54" s="38">
        <v>56.850969898336402</v>
      </c>
      <c r="BF54" s="38">
        <v>59.9197604891108</v>
      </c>
      <c r="BG54" s="38">
        <v>62.457340753462802</v>
      </c>
      <c r="BH54" s="38">
        <v>64.349060980652595</v>
      </c>
      <c r="BI54" s="38">
        <v>66.248424521891494</v>
      </c>
      <c r="BJ54" s="38">
        <v>67.9758134970225</v>
      </c>
      <c r="BK54" s="38">
        <v>69.882820352310802</v>
      </c>
      <c r="BL54" s="38">
        <v>71.931228517510405</v>
      </c>
      <c r="BM54" s="38">
        <v>73.612757608346001</v>
      </c>
      <c r="BN54" s="38">
        <v>74.755433058708903</v>
      </c>
      <c r="BO54" s="38">
        <v>76.391102265249003</v>
      </c>
      <c r="BP54" s="38">
        <v>78.970720756871501</v>
      </c>
      <c r="BQ54" s="38">
        <v>81.2025684592533</v>
      </c>
      <c r="BR54" s="38">
        <v>82.490466876552105</v>
      </c>
      <c r="BS54" s="38">
        <v>84.363078818618803</v>
      </c>
      <c r="BT54" s="38">
        <v>86.621678120172803</v>
      </c>
      <c r="BU54" s="38">
        <v>89.560532372110202</v>
      </c>
      <c r="BV54" s="38">
        <v>92.449705082727405</v>
      </c>
      <c r="BW54" s="38">
        <v>95.086992378851505</v>
      </c>
      <c r="BX54" s="38">
        <v>98.737477385344505</v>
      </c>
      <c r="BY54" s="38">
        <v>98.386419971062395</v>
      </c>
      <c r="BZ54" s="38">
        <v>100</v>
      </c>
      <c r="CA54" s="38">
        <v>103.156841568622</v>
      </c>
      <c r="CB54" s="38">
        <v>105.291504532868</v>
      </c>
      <c r="CC54" s="38">
        <v>106.83384887486601</v>
      </c>
      <c r="CD54" s="38">
        <v>108.566932118964</v>
      </c>
      <c r="CE54" s="24">
        <v>108.695721960694</v>
      </c>
    </row>
    <row r="55" spans="1:83" s="8" customFormat="1" ht="12.75" customHeight="1" x14ac:dyDescent="0.5">
      <c r="A55" s="7" t="s">
        <v>111</v>
      </c>
      <c r="C55" s="42" t="s">
        <v>112</v>
      </c>
      <c r="D55" s="42"/>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row>
    <row r="56" spans="1:83" s="10" customFormat="1" ht="12.75" customHeight="1" x14ac:dyDescent="0.5">
      <c r="A56" s="10" t="s">
        <v>113</v>
      </c>
      <c r="C56" s="22" t="s">
        <v>114</v>
      </c>
      <c r="D56" s="22"/>
      <c r="M56" s="10">
        <v>20</v>
      </c>
      <c r="Q56" s="13"/>
      <c r="R56" s="13"/>
      <c r="S56" s="13"/>
      <c r="T56" s="13"/>
      <c r="U56" s="13"/>
      <c r="V56" s="13"/>
      <c r="W56" s="13">
        <v>664.80000000000007</v>
      </c>
      <c r="X56" s="13">
        <v>825.6</v>
      </c>
      <c r="Y56" s="13">
        <v>765.59999999999991</v>
      </c>
      <c r="Z56" s="13">
        <v>818.40000000000009</v>
      </c>
      <c r="AA56" s="13">
        <v>868.8</v>
      </c>
      <c r="AB56" s="13">
        <v>854.4</v>
      </c>
      <c r="AC56" s="13">
        <v>864</v>
      </c>
      <c r="AD56" s="13">
        <v>967.20000000000016</v>
      </c>
      <c r="AE56" s="13">
        <v>1112</v>
      </c>
      <c r="AF56" s="13">
        <v>1430</v>
      </c>
      <c r="AG56" s="13">
        <v>1516</v>
      </c>
      <c r="AH56" s="13">
        <v>1552</v>
      </c>
      <c r="AI56" s="13">
        <v>1710</v>
      </c>
      <c r="AJ56" s="13">
        <v>1876.0000000000002</v>
      </c>
      <c r="AK56" s="13">
        <v>1946</v>
      </c>
      <c r="AL56" s="13">
        <v>2263</v>
      </c>
      <c r="AM56" s="13">
        <v>2857</v>
      </c>
      <c r="AN56" s="13">
        <v>3212</v>
      </c>
      <c r="AO56" s="13">
        <v>3402</v>
      </c>
      <c r="AP56" s="13">
        <v>4254</v>
      </c>
      <c r="AQ56" s="13">
        <v>4966</v>
      </c>
      <c r="AR56" s="13">
        <v>5746</v>
      </c>
      <c r="AS56" s="13">
        <v>6674</v>
      </c>
      <c r="AT56" s="13">
        <v>9956</v>
      </c>
      <c r="AU56" s="13">
        <v>10534</v>
      </c>
      <c r="AV56" s="13">
        <v>12558</v>
      </c>
      <c r="AW56" s="13">
        <v>14944</v>
      </c>
      <c r="AX56" s="13">
        <v>16827</v>
      </c>
      <c r="AY56" s="13">
        <v>17872</v>
      </c>
      <c r="AZ56" s="13">
        <v>19901</v>
      </c>
      <c r="BA56" s="13">
        <v>21578</v>
      </c>
      <c r="BB56" s="13">
        <v>25610</v>
      </c>
      <c r="BC56" s="13">
        <v>29216</v>
      </c>
      <c r="BD56" s="13">
        <v>34198</v>
      </c>
      <c r="BE56" s="13">
        <v>40590</v>
      </c>
      <c r="BF56" s="13">
        <v>44794</v>
      </c>
      <c r="BG56" s="13">
        <v>53044</v>
      </c>
      <c r="BH56" s="13">
        <v>62569</v>
      </c>
      <c r="BI56" s="13">
        <v>74520</v>
      </c>
      <c r="BJ56" s="13">
        <v>108546.99999999999</v>
      </c>
      <c r="BK56" s="13">
        <v>131191</v>
      </c>
      <c r="BL56" s="13">
        <v>152184</v>
      </c>
      <c r="BM56" s="13">
        <v>156557</v>
      </c>
      <c r="BN56" s="13">
        <v>184880</v>
      </c>
      <c r="BO56" s="13">
        <v>199045</v>
      </c>
      <c r="BP56" s="13">
        <v>186985</v>
      </c>
      <c r="BQ56" s="13">
        <v>199348.99999999997</v>
      </c>
      <c r="BR56" s="13">
        <v>206138.99999999997</v>
      </c>
      <c r="BS56" s="13">
        <v>220043</v>
      </c>
      <c r="BT56" s="13">
        <v>263593</v>
      </c>
      <c r="BU56" s="13">
        <v>296104</v>
      </c>
      <c r="BV56" s="13">
        <v>318901</v>
      </c>
      <c r="BW56" s="13">
        <v>382405</v>
      </c>
      <c r="BX56" s="13">
        <v>442562</v>
      </c>
      <c r="BY56" s="13">
        <v>502347</v>
      </c>
      <c r="BZ56" s="13">
        <v>561875</v>
      </c>
      <c r="CA56" s="13"/>
      <c r="CB56" s="13"/>
      <c r="CC56" s="13"/>
      <c r="CD56" s="13"/>
    </row>
    <row r="57" spans="1:83" s="4" customFormat="1" ht="12.75" customHeight="1" x14ac:dyDescent="0.5">
      <c r="A57" s="10" t="s">
        <v>113</v>
      </c>
      <c r="B57" s="10" t="s">
        <v>115</v>
      </c>
      <c r="C57" s="21" t="s">
        <v>116</v>
      </c>
      <c r="N57" s="24">
        <v>182</v>
      </c>
      <c r="O57" s="24">
        <v>198</v>
      </c>
      <c r="P57" s="24">
        <v>228</v>
      </c>
      <c r="Q57" s="38">
        <v>260</v>
      </c>
      <c r="R57" s="38">
        <v>264</v>
      </c>
      <c r="S57" s="38">
        <v>350</v>
      </c>
      <c r="T57" s="38">
        <v>411</v>
      </c>
      <c r="U57" s="38">
        <v>426</v>
      </c>
      <c r="V57" s="38"/>
      <c r="W57" s="38">
        <v>554</v>
      </c>
      <c r="X57" s="38">
        <v>688</v>
      </c>
      <c r="Y57" s="38">
        <v>637.99999999999989</v>
      </c>
      <c r="Z57" s="38">
        <v>682</v>
      </c>
      <c r="AA57" s="38">
        <v>723.99999999999989</v>
      </c>
      <c r="AB57" s="38">
        <v>712</v>
      </c>
      <c r="AC57" s="38">
        <v>720</v>
      </c>
      <c r="AD57" s="38">
        <v>806.00000000000011</v>
      </c>
      <c r="AE57" s="38">
        <v>942</v>
      </c>
      <c r="AF57" s="38">
        <v>1140</v>
      </c>
      <c r="AG57" s="38">
        <v>1202</v>
      </c>
      <c r="AH57" s="38">
        <v>1208</v>
      </c>
      <c r="AI57" s="38">
        <v>1370</v>
      </c>
      <c r="AJ57" s="38">
        <v>1524</v>
      </c>
      <c r="AK57" s="38">
        <v>1646</v>
      </c>
      <c r="AL57" s="38">
        <v>1967</v>
      </c>
      <c r="AM57" s="38">
        <v>2487</v>
      </c>
      <c r="AN57" s="38">
        <v>2840</v>
      </c>
      <c r="AO57" s="38">
        <v>2992</v>
      </c>
      <c r="AP57" s="38">
        <v>3820</v>
      </c>
      <c r="AQ57" s="38">
        <v>4540</v>
      </c>
      <c r="AR57" s="38">
        <v>5340</v>
      </c>
      <c r="AS57" s="38">
        <v>6160</v>
      </c>
      <c r="AT57" s="38">
        <v>9440</v>
      </c>
      <c r="AU57" s="38">
        <v>9980</v>
      </c>
      <c r="AV57" s="38">
        <v>11880</v>
      </c>
      <c r="AW57" s="38">
        <v>14040</v>
      </c>
      <c r="AX57" s="38">
        <v>15619</v>
      </c>
      <c r="AY57" s="38">
        <v>16590</v>
      </c>
      <c r="AZ57" s="38">
        <v>18387</v>
      </c>
      <c r="BA57" s="38">
        <v>20274</v>
      </c>
      <c r="BB57" s="38">
        <v>24250</v>
      </c>
      <c r="BC57" s="38">
        <v>27740</v>
      </c>
      <c r="BD57" s="38">
        <v>32280</v>
      </c>
      <c r="BE57" s="38">
        <v>37740</v>
      </c>
      <c r="BF57" s="38">
        <v>41640</v>
      </c>
      <c r="BG57" s="38">
        <v>49474</v>
      </c>
      <c r="BH57" s="38">
        <v>58580</v>
      </c>
      <c r="BI57" s="38">
        <v>69661</v>
      </c>
      <c r="BJ57" s="38">
        <v>102823</v>
      </c>
      <c r="BK57" s="38">
        <v>125131</v>
      </c>
      <c r="BL57" s="38">
        <v>145502</v>
      </c>
      <c r="BM57" s="38">
        <v>149249</v>
      </c>
      <c r="BN57" s="38">
        <v>178995</v>
      </c>
      <c r="BO57" s="38">
        <v>192266</v>
      </c>
      <c r="BP57" s="38">
        <v>180265</v>
      </c>
      <c r="BQ57" s="38">
        <v>192313</v>
      </c>
      <c r="BR57" s="38">
        <v>197768</v>
      </c>
      <c r="BS57" s="38">
        <v>210750</v>
      </c>
      <c r="BT57" s="38">
        <v>252681</v>
      </c>
      <c r="BU57" s="38">
        <v>289800</v>
      </c>
      <c r="BV57" s="38">
        <v>311300</v>
      </c>
      <c r="BW57" s="38">
        <v>373000</v>
      </c>
      <c r="BX57" s="38">
        <v>432200</v>
      </c>
      <c r="BY57" s="38">
        <v>487900</v>
      </c>
      <c r="BZ57" s="38">
        <v>548100</v>
      </c>
      <c r="CA57" s="38"/>
      <c r="CB57" s="38"/>
      <c r="CC57" s="38"/>
      <c r="CD57" s="38"/>
    </row>
    <row r="58" spans="1:83" s="4" customFormat="1" ht="12.75" customHeight="1" x14ac:dyDescent="0.5">
      <c r="A58" s="10" t="s">
        <v>113</v>
      </c>
      <c r="B58" s="10" t="s">
        <v>115</v>
      </c>
      <c r="C58" s="21" t="s">
        <v>117</v>
      </c>
      <c r="D58" s="5"/>
      <c r="Q58" s="38"/>
      <c r="R58" s="38"/>
      <c r="S58" s="38"/>
      <c r="T58" s="38"/>
      <c r="U58" s="38"/>
      <c r="V58" s="39"/>
      <c r="W58" s="39">
        <v>110.80000000000001</v>
      </c>
      <c r="X58" s="39">
        <v>137.6</v>
      </c>
      <c r="Y58" s="39">
        <v>127.59999999999998</v>
      </c>
      <c r="Z58" s="39">
        <v>136.4</v>
      </c>
      <c r="AA58" s="39">
        <v>144.79999999999998</v>
      </c>
      <c r="AB58" s="39">
        <v>142.40000000000003</v>
      </c>
      <c r="AC58" s="39">
        <v>144</v>
      </c>
      <c r="AD58" s="39">
        <v>161.20000000000002</v>
      </c>
      <c r="AE58" s="38">
        <v>170</v>
      </c>
      <c r="AF58" s="38">
        <v>289.99999999999994</v>
      </c>
      <c r="AG58" s="38">
        <v>314</v>
      </c>
      <c r="AH58" s="38">
        <v>344</v>
      </c>
      <c r="AI58" s="38">
        <v>340</v>
      </c>
      <c r="AJ58" s="38">
        <v>352</v>
      </c>
      <c r="AK58" s="38">
        <v>300</v>
      </c>
      <c r="AL58" s="38">
        <v>296</v>
      </c>
      <c r="AM58" s="38">
        <v>370</v>
      </c>
      <c r="AN58" s="38">
        <v>372</v>
      </c>
      <c r="AO58" s="38">
        <v>410</v>
      </c>
      <c r="AP58" s="38">
        <v>434</v>
      </c>
      <c r="AQ58" s="38">
        <v>426</v>
      </c>
      <c r="AR58" s="38">
        <v>406</v>
      </c>
      <c r="AS58" s="38">
        <v>513.99999999999989</v>
      </c>
      <c r="AT58" s="38">
        <v>516</v>
      </c>
      <c r="AU58" s="38">
        <v>554</v>
      </c>
      <c r="AV58" s="38">
        <v>678</v>
      </c>
      <c r="AW58" s="38">
        <v>903.99999999999989</v>
      </c>
      <c r="AX58" s="38">
        <v>1208</v>
      </c>
      <c r="AY58" s="38">
        <v>1282.0000000000002</v>
      </c>
      <c r="AZ58" s="38">
        <v>1514</v>
      </c>
      <c r="BA58" s="38">
        <v>1304</v>
      </c>
      <c r="BB58" s="38">
        <v>1360</v>
      </c>
      <c r="BC58" s="38">
        <v>1476</v>
      </c>
      <c r="BD58" s="38">
        <v>1917.9999999999998</v>
      </c>
      <c r="BE58" s="38">
        <v>2850</v>
      </c>
      <c r="BF58" s="38">
        <v>3154</v>
      </c>
      <c r="BG58" s="38">
        <v>3570</v>
      </c>
      <c r="BH58" s="38">
        <v>3989.0000000000005</v>
      </c>
      <c r="BI58" s="38">
        <v>4859</v>
      </c>
      <c r="BJ58" s="38">
        <v>5724</v>
      </c>
      <c r="BK58" s="38">
        <v>6060.0000000000009</v>
      </c>
      <c r="BL58" s="38">
        <v>6682</v>
      </c>
      <c r="BM58" s="38">
        <v>7308.0000000000009</v>
      </c>
      <c r="BN58" s="38">
        <v>5884.9999999999991</v>
      </c>
      <c r="BO58" s="38">
        <v>6779</v>
      </c>
      <c r="BP58" s="38">
        <v>6720</v>
      </c>
      <c r="BQ58" s="38">
        <v>7036</v>
      </c>
      <c r="BR58" s="38">
        <v>8371.0000000000018</v>
      </c>
      <c r="BS58" s="38">
        <v>9293</v>
      </c>
      <c r="BT58" s="38">
        <v>10912</v>
      </c>
      <c r="BU58" s="38">
        <v>6304</v>
      </c>
      <c r="BV58" s="38">
        <v>7601</v>
      </c>
      <c r="BW58" s="38">
        <v>9405</v>
      </c>
      <c r="BX58" s="38">
        <v>10362</v>
      </c>
      <c r="BY58" s="38">
        <v>14447</v>
      </c>
      <c r="BZ58" s="38">
        <v>13775</v>
      </c>
      <c r="CA58" s="38"/>
      <c r="CB58" s="38"/>
      <c r="CC58" s="38"/>
      <c r="CD58" s="38"/>
    </row>
    <row r="59" spans="1:83" ht="12.75" customHeight="1" x14ac:dyDescent="0.5">
      <c r="Q59" s="56"/>
      <c r="R59" s="56"/>
      <c r="S59" s="56"/>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c r="BM59" s="56"/>
      <c r="BN59" s="56"/>
      <c r="BO59" s="56"/>
      <c r="BP59" s="56"/>
      <c r="BQ59" s="56"/>
      <c r="BR59" s="56"/>
      <c r="BS59" s="56"/>
      <c r="BT59" s="56"/>
      <c r="BU59" s="56"/>
      <c r="BV59" s="56"/>
      <c r="BW59" s="56"/>
      <c r="BX59" s="56"/>
      <c r="BY59" s="56"/>
      <c r="BZ59" s="56"/>
      <c r="CA59" s="56"/>
      <c r="CB59" s="56"/>
      <c r="CC59" s="56"/>
      <c r="CD59" s="56"/>
    </row>
    <row r="60" spans="1:83" s="10" customFormat="1" ht="12.75" customHeight="1" x14ac:dyDescent="0.5">
      <c r="A60" s="10" t="s">
        <v>113</v>
      </c>
      <c r="C60" s="22" t="s">
        <v>118</v>
      </c>
      <c r="D60" s="22"/>
      <c r="M60" s="47"/>
      <c r="N60" s="19">
        <v>208</v>
      </c>
      <c r="O60" s="19">
        <v>212</v>
      </c>
      <c r="P60" s="19">
        <v>252</v>
      </c>
      <c r="Q60" s="13">
        <v>248</v>
      </c>
      <c r="R60" s="13">
        <v>282</v>
      </c>
      <c r="S60" s="13">
        <v>380</v>
      </c>
      <c r="T60" s="13">
        <v>465.99999999999994</v>
      </c>
      <c r="U60" s="13">
        <v>568</v>
      </c>
      <c r="V60" s="161">
        <v>426</v>
      </c>
      <c r="W60" s="13">
        <v>896</v>
      </c>
      <c r="X60" s="13">
        <v>906</v>
      </c>
      <c r="Y60" s="13">
        <v>926</v>
      </c>
      <c r="Z60" s="13">
        <v>890</v>
      </c>
      <c r="AA60" s="13">
        <v>922</v>
      </c>
      <c r="AB60" s="13">
        <v>928</v>
      </c>
      <c r="AC60" s="13">
        <v>1020</v>
      </c>
      <c r="AD60" s="38">
        <v>1031</v>
      </c>
      <c r="AE60" s="38">
        <v>1144</v>
      </c>
      <c r="AF60" s="38">
        <v>1316</v>
      </c>
      <c r="AG60" s="38">
        <v>1348.4</v>
      </c>
      <c r="AH60" s="38">
        <v>1455.3999999999999</v>
      </c>
      <c r="AI60" s="38">
        <v>1628.1999999999998</v>
      </c>
      <c r="AJ60" s="38">
        <v>1826</v>
      </c>
      <c r="AK60" s="38">
        <v>2039.9999999999998</v>
      </c>
      <c r="AL60" s="38">
        <v>2347.4</v>
      </c>
      <c r="AM60" s="38">
        <v>2921.8000000000006</v>
      </c>
      <c r="AN60" s="38">
        <v>3434</v>
      </c>
      <c r="AO60" s="38">
        <v>3906.6000000000008</v>
      </c>
      <c r="AP60" s="38">
        <v>4478.6000000000004</v>
      </c>
      <c r="AQ60" s="38">
        <v>5838.1999999999989</v>
      </c>
      <c r="AR60" s="38">
        <v>7226</v>
      </c>
      <c r="AS60" s="38">
        <v>7951.9999999999991</v>
      </c>
      <c r="AT60" s="38">
        <v>11249.400000000001</v>
      </c>
      <c r="AU60" s="38">
        <v>13494</v>
      </c>
      <c r="AV60" s="38">
        <v>15011.999999999998</v>
      </c>
      <c r="AW60" s="38">
        <v>18428</v>
      </c>
      <c r="AX60" s="38">
        <v>21086.000000000004</v>
      </c>
      <c r="AY60" s="38">
        <v>20810</v>
      </c>
      <c r="AZ60" s="38">
        <v>22730</v>
      </c>
      <c r="BA60" s="38">
        <v>26922.000000000004</v>
      </c>
      <c r="BB60" s="38">
        <v>29560</v>
      </c>
      <c r="BC60" s="38">
        <v>37274</v>
      </c>
      <c r="BD60" s="13">
        <v>40174</v>
      </c>
      <c r="BE60" s="13">
        <v>53016</v>
      </c>
      <c r="BF60" s="38">
        <v>54259</v>
      </c>
      <c r="BG60" s="38">
        <v>64902</v>
      </c>
      <c r="BH60" s="38">
        <v>70071.999999999985</v>
      </c>
      <c r="BI60" s="38">
        <v>100757</v>
      </c>
      <c r="BJ60" s="38">
        <v>128876.00000000003</v>
      </c>
      <c r="BK60" s="38">
        <v>130808.00000000001</v>
      </c>
      <c r="BL60" s="38">
        <v>152187</v>
      </c>
      <c r="BM60" s="38">
        <v>171797</v>
      </c>
      <c r="BN60" s="38">
        <v>195940</v>
      </c>
      <c r="BO60" s="38">
        <v>197456</v>
      </c>
      <c r="BP60" s="38">
        <v>171960</v>
      </c>
      <c r="BQ60" s="38">
        <v>214483</v>
      </c>
      <c r="BR60" s="38">
        <v>218002</v>
      </c>
      <c r="BS60" s="38">
        <v>244001</v>
      </c>
      <c r="BT60" s="38">
        <v>298556</v>
      </c>
      <c r="BU60" s="38">
        <v>303700</v>
      </c>
      <c r="BV60" s="38">
        <v>383000</v>
      </c>
      <c r="BW60" s="38">
        <v>420000</v>
      </c>
      <c r="BX60" s="38">
        <v>535000</v>
      </c>
      <c r="BY60" s="38">
        <v>597000</v>
      </c>
      <c r="BZ60" s="38">
        <v>725000</v>
      </c>
      <c r="CA60" s="38">
        <v>812000</v>
      </c>
      <c r="CB60" s="13"/>
      <c r="CC60" s="13"/>
      <c r="CD60" s="13"/>
    </row>
    <row r="61" spans="1:83" s="10" customFormat="1" ht="12.75" customHeight="1" x14ac:dyDescent="0.5">
      <c r="A61" s="10" t="s">
        <v>113</v>
      </c>
      <c r="B61" s="10" t="s">
        <v>119</v>
      </c>
      <c r="C61" s="21" t="s">
        <v>120</v>
      </c>
      <c r="D61" s="22"/>
      <c r="M61" s="47"/>
      <c r="N61" s="19">
        <v>176</v>
      </c>
      <c r="O61" s="19">
        <v>180</v>
      </c>
      <c r="P61" s="19">
        <v>220</v>
      </c>
      <c r="Q61" s="13">
        <v>216</v>
      </c>
      <c r="R61" s="13">
        <v>250</v>
      </c>
      <c r="S61" s="13">
        <v>298</v>
      </c>
      <c r="T61" s="13">
        <v>358</v>
      </c>
      <c r="U61" s="13">
        <v>444</v>
      </c>
      <c r="V61" s="161">
        <v>370</v>
      </c>
      <c r="W61" s="13">
        <v>778</v>
      </c>
      <c r="X61" s="13">
        <v>766</v>
      </c>
      <c r="Y61" s="13">
        <v>760</v>
      </c>
      <c r="Z61" s="13">
        <v>770</v>
      </c>
      <c r="AA61" s="13">
        <v>762</v>
      </c>
      <c r="AB61" s="13">
        <v>766</v>
      </c>
      <c r="AC61" s="13">
        <v>866</v>
      </c>
      <c r="AD61" s="13">
        <v>891.00000000000011</v>
      </c>
      <c r="AE61" s="13">
        <v>993.99999999999989</v>
      </c>
      <c r="AF61" s="13">
        <v>1126</v>
      </c>
      <c r="AG61" s="13">
        <v>1138.4000000000001</v>
      </c>
      <c r="AH61" s="13">
        <v>1213.4000000000001</v>
      </c>
      <c r="AI61" s="13">
        <v>1296.2</v>
      </c>
      <c r="AJ61" s="13">
        <v>1386</v>
      </c>
      <c r="AK61" s="13">
        <v>1503.9999999999998</v>
      </c>
      <c r="AL61" s="13">
        <v>1727.4</v>
      </c>
      <c r="AM61" s="13">
        <v>2035.8000000000002</v>
      </c>
      <c r="AN61" s="13">
        <v>2480</v>
      </c>
      <c r="AO61" s="13">
        <v>2754.6000000000004</v>
      </c>
      <c r="AP61" s="13">
        <v>3236.5999999999995</v>
      </c>
      <c r="AQ61" s="13">
        <v>4182.2</v>
      </c>
      <c r="AR61" s="13">
        <v>4848.0000000000009</v>
      </c>
      <c r="AS61" s="13">
        <v>5701.9999999999991</v>
      </c>
      <c r="AT61" s="13">
        <v>7841.4</v>
      </c>
      <c r="AU61" s="13">
        <v>9692</v>
      </c>
      <c r="AV61" s="13">
        <v>10728</v>
      </c>
      <c r="AW61" s="13">
        <v>13236</v>
      </c>
      <c r="AX61" s="13">
        <v>16694</v>
      </c>
      <c r="AY61" s="13">
        <v>17228</v>
      </c>
      <c r="AZ61" s="13">
        <v>19446</v>
      </c>
      <c r="BA61" s="13">
        <v>21828</v>
      </c>
      <c r="BB61" s="13">
        <v>25010</v>
      </c>
      <c r="BC61" s="13">
        <v>29827.999999999996</v>
      </c>
      <c r="BD61" s="13">
        <v>34054</v>
      </c>
      <c r="BE61" s="13">
        <v>43496</v>
      </c>
      <c r="BF61" s="13">
        <v>44204</v>
      </c>
      <c r="BG61" s="13">
        <v>50543</v>
      </c>
      <c r="BH61" s="13">
        <v>57026</v>
      </c>
      <c r="BI61" s="13">
        <v>84118</v>
      </c>
      <c r="BJ61" s="13">
        <v>106415.99999999999</v>
      </c>
      <c r="BK61" s="13">
        <v>105487</v>
      </c>
      <c r="BL61" s="13">
        <v>122907</v>
      </c>
      <c r="BM61" s="13">
        <v>141978</v>
      </c>
      <c r="BN61" s="13">
        <v>161152.00000000003</v>
      </c>
      <c r="BO61" s="13">
        <v>161468</v>
      </c>
      <c r="BP61" s="13">
        <v>150943</v>
      </c>
      <c r="BQ61" s="13">
        <v>179043</v>
      </c>
      <c r="BR61" s="13">
        <v>191957</v>
      </c>
      <c r="BS61" s="13">
        <v>210146.99999999997</v>
      </c>
      <c r="BT61" s="13">
        <v>253058</v>
      </c>
      <c r="BU61" s="13">
        <v>259000</v>
      </c>
      <c r="BV61" s="13">
        <v>315000</v>
      </c>
      <c r="BW61" s="13">
        <v>340000</v>
      </c>
      <c r="BX61" s="13">
        <v>403000</v>
      </c>
      <c r="BY61" s="13">
        <v>436000</v>
      </c>
      <c r="BZ61" s="13">
        <v>510000</v>
      </c>
      <c r="CA61" s="13">
        <v>593000</v>
      </c>
      <c r="CB61" s="13"/>
      <c r="CC61" s="13"/>
      <c r="CD61" s="13"/>
    </row>
    <row r="62" spans="1:83" s="10" customFormat="1" ht="12.75" customHeight="1" x14ac:dyDescent="0.5">
      <c r="A62" s="10" t="s">
        <v>113</v>
      </c>
      <c r="B62" s="10" t="s">
        <v>119</v>
      </c>
      <c r="C62" s="21" t="s">
        <v>121</v>
      </c>
      <c r="D62" s="22"/>
      <c r="M62" s="47"/>
      <c r="N62" s="19">
        <v>32</v>
      </c>
      <c r="O62" s="19">
        <v>32</v>
      </c>
      <c r="P62" s="19">
        <v>32</v>
      </c>
      <c r="Q62" s="13">
        <v>32</v>
      </c>
      <c r="R62" s="13">
        <v>32</v>
      </c>
      <c r="S62" s="13">
        <v>82</v>
      </c>
      <c r="T62" s="13">
        <v>108</v>
      </c>
      <c r="U62" s="13">
        <v>124</v>
      </c>
      <c r="V62" s="161">
        <v>56</v>
      </c>
      <c r="W62" s="13">
        <v>118</v>
      </c>
      <c r="X62" s="13">
        <v>140</v>
      </c>
      <c r="Y62" s="13">
        <v>166</v>
      </c>
      <c r="Z62" s="13">
        <v>120</v>
      </c>
      <c r="AA62" s="13">
        <v>160</v>
      </c>
      <c r="AB62" s="13">
        <v>162</v>
      </c>
      <c r="AC62" s="13">
        <v>154</v>
      </c>
      <c r="AD62" s="13">
        <v>140</v>
      </c>
      <c r="AE62" s="13">
        <v>150</v>
      </c>
      <c r="AF62" s="13">
        <v>190</v>
      </c>
      <c r="AG62" s="13">
        <v>210</v>
      </c>
      <c r="AH62" s="13">
        <v>242.00000000000003</v>
      </c>
      <c r="AI62" s="13">
        <v>332</v>
      </c>
      <c r="AJ62" s="13">
        <v>440</v>
      </c>
      <c r="AK62" s="13">
        <v>536</v>
      </c>
      <c r="AL62" s="13">
        <v>620</v>
      </c>
      <c r="AM62" s="13">
        <v>886</v>
      </c>
      <c r="AN62" s="13">
        <v>954</v>
      </c>
      <c r="AO62" s="13">
        <v>1152</v>
      </c>
      <c r="AP62" s="13">
        <v>1242</v>
      </c>
      <c r="AQ62" s="13">
        <v>1656</v>
      </c>
      <c r="AR62" s="13">
        <v>2378</v>
      </c>
      <c r="AS62" s="13">
        <v>2250</v>
      </c>
      <c r="AT62" s="13">
        <v>3407.9999999999995</v>
      </c>
      <c r="AU62" s="13">
        <v>3802</v>
      </c>
      <c r="AV62" s="13">
        <v>4284</v>
      </c>
      <c r="AW62" s="13">
        <v>5191.9999999999991</v>
      </c>
      <c r="AX62" s="13">
        <v>4392</v>
      </c>
      <c r="AY62" s="13">
        <v>3582.0000000000005</v>
      </c>
      <c r="AZ62" s="13">
        <v>3284</v>
      </c>
      <c r="BA62" s="13">
        <v>5094</v>
      </c>
      <c r="BB62" s="13">
        <v>4549.9999999999991</v>
      </c>
      <c r="BC62" s="13">
        <v>7446.0000000000018</v>
      </c>
      <c r="BD62" s="13">
        <v>6120</v>
      </c>
      <c r="BE62" s="13">
        <v>9520</v>
      </c>
      <c r="BF62" s="13">
        <v>10055</v>
      </c>
      <c r="BG62" s="13">
        <v>14359</v>
      </c>
      <c r="BH62" s="13">
        <v>13046.000000000002</v>
      </c>
      <c r="BI62" s="13">
        <v>16639</v>
      </c>
      <c r="BJ62" s="13">
        <v>22460</v>
      </c>
      <c r="BK62" s="13">
        <v>25321</v>
      </c>
      <c r="BL62" s="13">
        <v>29280</v>
      </c>
      <c r="BM62" s="13">
        <v>29819</v>
      </c>
      <c r="BN62" s="13">
        <v>34787</v>
      </c>
      <c r="BO62" s="13">
        <v>35988</v>
      </c>
      <c r="BP62" s="13">
        <v>21018</v>
      </c>
      <c r="BQ62" s="13">
        <v>35440</v>
      </c>
      <c r="BR62" s="13">
        <v>26045</v>
      </c>
      <c r="BS62" s="13">
        <v>33854</v>
      </c>
      <c r="BT62" s="13">
        <v>45498</v>
      </c>
      <c r="BU62" s="13">
        <v>44700</v>
      </c>
      <c r="BV62" s="13">
        <v>68000</v>
      </c>
      <c r="BW62" s="13">
        <v>80000</v>
      </c>
      <c r="BX62" s="13">
        <v>132000</v>
      </c>
      <c r="BY62" s="13">
        <v>161000</v>
      </c>
      <c r="BZ62" s="13">
        <v>215000</v>
      </c>
      <c r="CA62" s="13">
        <v>219000</v>
      </c>
      <c r="CB62" s="13"/>
      <c r="CC62" s="13"/>
      <c r="CD62" s="13"/>
    </row>
    <row r="63" spans="1:83" ht="12.75" customHeight="1" x14ac:dyDescent="0.5">
      <c r="N63" s="27"/>
      <c r="O63" s="27"/>
      <c r="P63" s="27"/>
      <c r="Q63" s="56"/>
      <c r="R63" s="56"/>
      <c r="S63" s="56"/>
      <c r="T63" s="56"/>
      <c r="U63" s="56"/>
      <c r="V63" s="56"/>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row>
    <row r="64" spans="1:83" s="4" customFormat="1" ht="12.75" customHeight="1" x14ac:dyDescent="0.5">
      <c r="A64" s="10" t="s">
        <v>113</v>
      </c>
      <c r="B64" s="10" t="s">
        <v>115</v>
      </c>
      <c r="C64" s="22" t="s">
        <v>118</v>
      </c>
      <c r="E64" s="5"/>
      <c r="F64" s="5"/>
      <c r="G64" s="5"/>
      <c r="H64" s="5"/>
      <c r="I64" s="5"/>
      <c r="J64" s="5"/>
      <c r="K64" s="5"/>
      <c r="L64" s="5"/>
      <c r="M64" s="5"/>
      <c r="N64" s="37"/>
      <c r="O64" s="37"/>
      <c r="P64" s="37"/>
      <c r="Q64" s="157"/>
      <c r="R64" s="157"/>
      <c r="S64" s="157"/>
      <c r="T64" s="157"/>
      <c r="U64" s="157"/>
      <c r="V64" s="157"/>
      <c r="W64" s="157"/>
      <c r="X64" s="157"/>
      <c r="Y64" s="157"/>
      <c r="Z64" s="157"/>
      <c r="AA64" s="157"/>
      <c r="AB64" s="157"/>
      <c r="AC64" s="157"/>
      <c r="AD64" s="38">
        <v>1031</v>
      </c>
      <c r="AE64" s="38">
        <v>1144</v>
      </c>
      <c r="AF64" s="38">
        <v>1316</v>
      </c>
      <c r="AG64" s="38">
        <v>1348.4</v>
      </c>
      <c r="AH64" s="38">
        <v>1455.3999999999999</v>
      </c>
      <c r="AI64" s="38">
        <v>1628.1999999999998</v>
      </c>
      <c r="AJ64" s="38">
        <v>1826</v>
      </c>
      <c r="AK64" s="38">
        <v>2039.9999999999998</v>
      </c>
      <c r="AL64" s="38">
        <v>2347.4</v>
      </c>
      <c r="AM64" s="38">
        <v>2921.8000000000006</v>
      </c>
      <c r="AN64" s="38">
        <v>3434</v>
      </c>
      <c r="AO64" s="38">
        <v>3906.6000000000008</v>
      </c>
      <c r="AP64" s="38">
        <v>4478.6000000000004</v>
      </c>
      <c r="AQ64" s="38">
        <v>5838.1999999999989</v>
      </c>
      <c r="AR64" s="38">
        <v>7226</v>
      </c>
      <c r="AS64" s="38">
        <v>7951.9999999999991</v>
      </c>
      <c r="AT64" s="38">
        <v>11249.400000000001</v>
      </c>
      <c r="AU64" s="38">
        <v>13494</v>
      </c>
      <c r="AV64" s="38">
        <v>15011.999999999998</v>
      </c>
      <c r="AW64" s="38">
        <v>18428</v>
      </c>
      <c r="AX64" s="38">
        <v>21086.000000000004</v>
      </c>
      <c r="AY64" s="38">
        <v>20810</v>
      </c>
      <c r="AZ64" s="38">
        <v>22730</v>
      </c>
      <c r="BA64" s="38">
        <v>26922.000000000004</v>
      </c>
      <c r="BB64" s="38">
        <v>29560</v>
      </c>
      <c r="BC64" s="38">
        <v>37280</v>
      </c>
      <c r="BD64" s="13">
        <v>40174</v>
      </c>
      <c r="BE64" s="13">
        <v>53016</v>
      </c>
      <c r="BF64" s="38">
        <v>54259</v>
      </c>
      <c r="BG64" s="38">
        <v>64902</v>
      </c>
      <c r="BH64" s="38">
        <v>70071.999999999985</v>
      </c>
      <c r="BI64" s="38">
        <v>100757</v>
      </c>
      <c r="BJ64" s="38">
        <v>128876.00000000003</v>
      </c>
      <c r="BK64" s="38">
        <v>130808.00000000001</v>
      </c>
      <c r="BL64" s="38">
        <v>152187</v>
      </c>
      <c r="BM64" s="38">
        <v>171797</v>
      </c>
      <c r="BN64" s="38">
        <v>195940</v>
      </c>
      <c r="BO64" s="38">
        <v>197456</v>
      </c>
      <c r="BP64" s="38">
        <v>171960</v>
      </c>
      <c r="BQ64" s="38">
        <v>214483</v>
      </c>
      <c r="BR64" s="38">
        <v>218002</v>
      </c>
      <c r="BS64" s="38">
        <v>244001</v>
      </c>
      <c r="BT64" s="38">
        <v>298556</v>
      </c>
      <c r="BU64" s="38">
        <v>303700</v>
      </c>
      <c r="BV64" s="38">
        <v>383000</v>
      </c>
      <c r="BW64" s="38">
        <v>420000</v>
      </c>
      <c r="BX64" s="38">
        <v>535000</v>
      </c>
      <c r="BY64" s="38">
        <v>597000</v>
      </c>
      <c r="BZ64" s="38">
        <v>725000</v>
      </c>
      <c r="CA64" s="38">
        <v>812000</v>
      </c>
      <c r="CB64" s="38"/>
      <c r="CC64" s="38"/>
      <c r="CD64" s="38"/>
    </row>
    <row r="65" spans="1:82" s="5" customFormat="1" ht="12.75" customHeight="1" x14ac:dyDescent="0.5">
      <c r="A65" s="4"/>
      <c r="B65" s="4"/>
      <c r="C65" s="29" t="s">
        <v>122</v>
      </c>
      <c r="D65" s="4"/>
      <c r="E65" s="4"/>
      <c r="F65" s="4"/>
      <c r="G65" s="4"/>
      <c r="H65" s="4"/>
      <c r="I65" s="4"/>
      <c r="J65" s="4"/>
      <c r="K65" s="4"/>
      <c r="L65" s="4"/>
      <c r="M65" s="4"/>
      <c r="N65" s="24"/>
      <c r="O65" s="24"/>
      <c r="P65" s="24"/>
      <c r="Q65" s="38"/>
      <c r="R65" s="38"/>
      <c r="S65" s="38"/>
      <c r="T65" s="38"/>
      <c r="U65" s="38"/>
      <c r="V65" s="38"/>
      <c r="W65" s="38"/>
      <c r="X65" s="38"/>
      <c r="Y65" s="38"/>
      <c r="Z65" s="38"/>
      <c r="AA65" s="38"/>
      <c r="AB65" s="38"/>
      <c r="AC65" s="38"/>
      <c r="AD65" s="38">
        <v>403</v>
      </c>
      <c r="AE65" s="38">
        <v>406</v>
      </c>
      <c r="AF65" s="38">
        <v>426</v>
      </c>
      <c r="AG65" s="38">
        <v>478.40000000000003</v>
      </c>
      <c r="AH65" s="38">
        <v>497.40000000000003</v>
      </c>
      <c r="AI65" s="38">
        <v>560.20000000000005</v>
      </c>
      <c r="AJ65" s="38">
        <v>592</v>
      </c>
      <c r="AK65" s="38">
        <v>634</v>
      </c>
      <c r="AL65" s="38">
        <v>841.4</v>
      </c>
      <c r="AM65" s="38">
        <v>1077.8</v>
      </c>
      <c r="AN65" s="38">
        <v>1376</v>
      </c>
      <c r="AO65" s="38">
        <v>1414.6000000000001</v>
      </c>
      <c r="AP65" s="38">
        <v>1604.6000000000001</v>
      </c>
      <c r="AQ65" s="38">
        <v>2012.2</v>
      </c>
      <c r="AR65" s="38">
        <v>2406</v>
      </c>
      <c r="AS65" s="38">
        <v>1690</v>
      </c>
      <c r="AT65" s="38">
        <v>2238</v>
      </c>
      <c r="AU65" s="38">
        <v>2518</v>
      </c>
      <c r="AV65" s="38">
        <v>2736</v>
      </c>
      <c r="AW65" s="38">
        <v>3456</v>
      </c>
      <c r="AX65" s="38">
        <v>4488</v>
      </c>
      <c r="AY65" s="38">
        <v>4600</v>
      </c>
      <c r="AZ65" s="38">
        <v>5294</v>
      </c>
      <c r="BA65" s="38">
        <v>5774</v>
      </c>
      <c r="BB65" s="38">
        <v>6716</v>
      </c>
      <c r="BC65" s="13">
        <v>7968</v>
      </c>
      <c r="BD65" s="13">
        <v>9072</v>
      </c>
      <c r="BE65" s="13">
        <v>10830</v>
      </c>
      <c r="BF65" s="38">
        <v>11512</v>
      </c>
      <c r="BG65" s="38">
        <v>12705</v>
      </c>
      <c r="BH65" s="38">
        <v>21464</v>
      </c>
      <c r="BI65" s="38">
        <v>26910</v>
      </c>
      <c r="BJ65" s="38">
        <v>31546</v>
      </c>
      <c r="BK65" s="38">
        <v>42830</v>
      </c>
      <c r="BL65" s="38">
        <v>45886</v>
      </c>
      <c r="BM65" s="38">
        <v>48171</v>
      </c>
      <c r="BN65" s="38">
        <v>62146</v>
      </c>
      <c r="BO65" s="38">
        <v>63253</v>
      </c>
      <c r="BP65" s="38">
        <v>65860</v>
      </c>
      <c r="BQ65" s="38">
        <v>68119</v>
      </c>
      <c r="BR65" s="38">
        <v>78125</v>
      </c>
      <c r="BS65" s="38">
        <v>85087</v>
      </c>
      <c r="BT65" s="38">
        <v>95850</v>
      </c>
      <c r="BU65" s="38">
        <v>105600</v>
      </c>
      <c r="BV65" s="38">
        <v>112000</v>
      </c>
      <c r="BW65" s="38">
        <v>127300</v>
      </c>
      <c r="BX65" s="38">
        <v>146000</v>
      </c>
      <c r="BY65" s="38">
        <v>155000</v>
      </c>
      <c r="BZ65" s="38">
        <v>173000</v>
      </c>
      <c r="CA65" s="38">
        <v>198500</v>
      </c>
      <c r="CB65" s="38">
        <v>223000</v>
      </c>
      <c r="CC65" s="38">
        <v>274000</v>
      </c>
      <c r="CD65" s="157"/>
    </row>
    <row r="66" spans="1:82" s="5" customFormat="1" ht="12.75" customHeight="1" x14ac:dyDescent="0.5">
      <c r="A66" s="4"/>
      <c r="B66" s="4"/>
      <c r="C66" s="29" t="s">
        <v>123</v>
      </c>
      <c r="D66" s="4"/>
      <c r="E66" s="4"/>
      <c r="F66" s="4"/>
      <c r="G66" s="4"/>
      <c r="H66" s="4"/>
      <c r="I66" s="4"/>
      <c r="J66" s="4"/>
      <c r="K66" s="4"/>
      <c r="L66" s="4"/>
      <c r="M66" s="4"/>
      <c r="N66" s="24"/>
      <c r="O66" s="24"/>
      <c r="P66" s="24"/>
      <c r="Q66" s="38"/>
      <c r="R66" s="38"/>
      <c r="S66" s="38"/>
      <c r="T66" s="38"/>
      <c r="U66" s="38"/>
      <c r="V66" s="38"/>
      <c r="W66" s="38"/>
      <c r="X66" s="38"/>
      <c r="Y66" s="38"/>
      <c r="Z66" s="38"/>
      <c r="AA66" s="38"/>
      <c r="AB66" s="38"/>
      <c r="AC66" s="38"/>
      <c r="AD66" s="38">
        <v>266</v>
      </c>
      <c r="AE66" s="38">
        <v>350</v>
      </c>
      <c r="AF66" s="38">
        <v>450</v>
      </c>
      <c r="AG66" s="38">
        <v>350</v>
      </c>
      <c r="AH66" s="38">
        <v>354</v>
      </c>
      <c r="AI66" s="38">
        <v>344</v>
      </c>
      <c r="AJ66" s="38">
        <v>348</v>
      </c>
      <c r="AK66" s="38">
        <v>378</v>
      </c>
      <c r="AL66" s="38">
        <v>344</v>
      </c>
      <c r="AM66" s="38">
        <v>332</v>
      </c>
      <c r="AN66" s="38">
        <v>312</v>
      </c>
      <c r="AO66" s="38">
        <v>332</v>
      </c>
      <c r="AP66" s="38">
        <v>426</v>
      </c>
      <c r="AQ66" s="38">
        <v>558</v>
      </c>
      <c r="AR66" s="38">
        <v>602</v>
      </c>
      <c r="AS66" s="38">
        <v>1580</v>
      </c>
      <c r="AT66" s="38">
        <v>1930</v>
      </c>
      <c r="AU66" s="38">
        <v>2310</v>
      </c>
      <c r="AV66" s="38">
        <v>2422</v>
      </c>
      <c r="AW66" s="38">
        <v>3460</v>
      </c>
      <c r="AX66" s="38">
        <v>3576</v>
      </c>
      <c r="AY66" s="38">
        <v>4086</v>
      </c>
      <c r="AZ66" s="38">
        <v>4054</v>
      </c>
      <c r="BA66" s="38">
        <v>5476</v>
      </c>
      <c r="BB66" s="38">
        <v>5344</v>
      </c>
      <c r="BC66" s="13">
        <v>7554</v>
      </c>
      <c r="BD66" s="13">
        <v>7888</v>
      </c>
      <c r="BE66" s="13">
        <v>12880</v>
      </c>
      <c r="BF66" s="38">
        <v>10318</v>
      </c>
      <c r="BG66" s="38">
        <v>8953</v>
      </c>
      <c r="BH66" s="38">
        <v>6953</v>
      </c>
      <c r="BI66" s="38">
        <v>4038</v>
      </c>
      <c r="BJ66" s="38">
        <v>6842</v>
      </c>
      <c r="BK66" s="38">
        <v>5072</v>
      </c>
      <c r="BL66" s="38">
        <v>5076</v>
      </c>
      <c r="BM66" s="38">
        <v>5659</v>
      </c>
      <c r="BN66" s="38">
        <v>35903</v>
      </c>
      <c r="BO66" s="38">
        <v>35197</v>
      </c>
      <c r="BP66" s="38">
        <v>25640</v>
      </c>
      <c r="BQ66" s="38">
        <v>36609</v>
      </c>
      <c r="BR66" s="38">
        <v>38629</v>
      </c>
      <c r="BS66" s="38">
        <v>39010</v>
      </c>
      <c r="BT66" s="38">
        <v>45328</v>
      </c>
      <c r="BU66" s="38"/>
      <c r="BV66" s="38"/>
      <c r="BW66" s="38"/>
      <c r="BX66" s="38"/>
      <c r="BY66" s="38"/>
      <c r="BZ66" s="38"/>
      <c r="CA66" s="38"/>
      <c r="CB66" s="38"/>
      <c r="CC66" s="38"/>
      <c r="CD66" s="157"/>
    </row>
    <row r="67" spans="1:82" s="5" customFormat="1" ht="12.75" customHeight="1" x14ac:dyDescent="0.5">
      <c r="A67" s="4"/>
      <c r="B67" s="4"/>
      <c r="C67" s="29" t="s">
        <v>124</v>
      </c>
      <c r="D67" s="4"/>
      <c r="E67" s="4"/>
      <c r="F67" s="4"/>
      <c r="G67" s="4"/>
      <c r="H67" s="4"/>
      <c r="I67" s="4"/>
      <c r="J67" s="4"/>
      <c r="K67" s="4"/>
      <c r="L67" s="4"/>
      <c r="M67" s="4"/>
      <c r="N67" s="24"/>
      <c r="O67" s="24"/>
      <c r="P67" s="24"/>
      <c r="Q67" s="38"/>
      <c r="R67" s="38"/>
      <c r="S67" s="38"/>
      <c r="T67" s="38"/>
      <c r="U67" s="38"/>
      <c r="V67" s="38"/>
      <c r="W67" s="38"/>
      <c r="X67" s="38"/>
      <c r="Y67" s="38"/>
      <c r="Z67" s="38"/>
      <c r="AA67" s="38"/>
      <c r="AB67" s="38"/>
      <c r="AC67" s="38"/>
      <c r="AD67" s="38">
        <v>140</v>
      </c>
      <c r="AE67" s="38">
        <v>148</v>
      </c>
      <c r="AF67" s="38">
        <v>160</v>
      </c>
      <c r="AG67" s="38">
        <v>216</v>
      </c>
      <c r="AH67" s="38">
        <v>252</v>
      </c>
      <c r="AI67" s="38">
        <v>274</v>
      </c>
      <c r="AJ67" s="38">
        <v>288</v>
      </c>
      <c r="AK67" s="38">
        <v>316</v>
      </c>
      <c r="AL67" s="38">
        <v>382</v>
      </c>
      <c r="AM67" s="38">
        <v>452</v>
      </c>
      <c r="AN67" s="38">
        <v>602</v>
      </c>
      <c r="AO67" s="38">
        <v>760</v>
      </c>
      <c r="AP67" s="38">
        <v>912</v>
      </c>
      <c r="AQ67" s="38">
        <v>1304</v>
      </c>
      <c r="AR67" s="38">
        <v>1434</v>
      </c>
      <c r="AS67" s="38">
        <v>1938</v>
      </c>
      <c r="AT67" s="38">
        <v>3010</v>
      </c>
      <c r="AU67" s="38">
        <v>3988</v>
      </c>
      <c r="AV67" s="38">
        <v>4590</v>
      </c>
      <c r="AW67" s="38">
        <v>4940</v>
      </c>
      <c r="AX67" s="38">
        <v>6230</v>
      </c>
      <c r="AY67" s="38">
        <v>5622</v>
      </c>
      <c r="AZ67" s="38">
        <v>6592</v>
      </c>
      <c r="BA67" s="38">
        <v>6364</v>
      </c>
      <c r="BB67" s="38">
        <v>7090</v>
      </c>
      <c r="BC67" s="13">
        <v>8286</v>
      </c>
      <c r="BD67" s="13">
        <v>9674</v>
      </c>
      <c r="BE67" s="13">
        <v>10526</v>
      </c>
      <c r="BF67" s="38">
        <v>12370</v>
      </c>
      <c r="BG67" s="38">
        <v>14591</v>
      </c>
      <c r="BH67" s="38">
        <v>13550</v>
      </c>
      <c r="BI67" s="38">
        <v>18745</v>
      </c>
      <c r="BJ67" s="38">
        <v>21376</v>
      </c>
      <c r="BK67" s="38">
        <v>25762</v>
      </c>
      <c r="BL67" s="38">
        <v>34700</v>
      </c>
      <c r="BM67" s="38">
        <v>53362</v>
      </c>
      <c r="BN67" s="38">
        <v>25132</v>
      </c>
      <c r="BO67" s="38">
        <v>22963</v>
      </c>
      <c r="BP67" s="38">
        <v>30056</v>
      </c>
      <c r="BQ67" s="38">
        <v>43280</v>
      </c>
      <c r="BR67" s="38">
        <v>44819</v>
      </c>
      <c r="BS67" s="38">
        <v>50024</v>
      </c>
      <c r="BT67" s="38">
        <v>82180</v>
      </c>
      <c r="BU67" s="38"/>
      <c r="BV67" s="38"/>
      <c r="BW67" s="38"/>
      <c r="BX67" s="38"/>
      <c r="BY67" s="38"/>
      <c r="BZ67" s="38"/>
      <c r="CA67" s="38"/>
      <c r="CB67" s="38"/>
      <c r="CC67" s="38"/>
      <c r="CD67" s="157"/>
    </row>
    <row r="68" spans="1:82" s="5" customFormat="1" ht="12.75" customHeight="1" x14ac:dyDescent="0.5">
      <c r="A68" s="4"/>
      <c r="B68" s="4"/>
      <c r="C68" s="29" t="s">
        <v>125</v>
      </c>
      <c r="D68" s="4"/>
      <c r="E68" s="4"/>
      <c r="F68" s="4"/>
      <c r="G68" s="4"/>
      <c r="H68" s="4"/>
      <c r="I68" s="4"/>
      <c r="J68" s="4"/>
      <c r="K68" s="4"/>
      <c r="L68" s="4"/>
      <c r="M68" s="4"/>
      <c r="N68" s="24"/>
      <c r="O68" s="24"/>
      <c r="P68" s="24"/>
      <c r="Q68" s="38"/>
      <c r="R68" s="38"/>
      <c r="S68" s="38"/>
      <c r="T68" s="38"/>
      <c r="U68" s="38"/>
      <c r="V68" s="38"/>
      <c r="W68" s="38"/>
      <c r="X68" s="38"/>
      <c r="Y68" s="38"/>
      <c r="Z68" s="38"/>
      <c r="AA68" s="38"/>
      <c r="AB68" s="38"/>
      <c r="AC68" s="38"/>
      <c r="AD68" s="38">
        <v>82</v>
      </c>
      <c r="AE68" s="38">
        <v>90</v>
      </c>
      <c r="AF68" s="38">
        <v>90</v>
      </c>
      <c r="AG68" s="38">
        <v>94</v>
      </c>
      <c r="AH68" s="38">
        <v>110</v>
      </c>
      <c r="AI68" s="38">
        <v>117.99999999999999</v>
      </c>
      <c r="AJ68" s="38">
        <v>158</v>
      </c>
      <c r="AK68" s="38">
        <v>176</v>
      </c>
      <c r="AL68" s="38">
        <v>160</v>
      </c>
      <c r="AM68" s="38">
        <v>174</v>
      </c>
      <c r="AN68" s="38">
        <v>190</v>
      </c>
      <c r="AO68" s="38">
        <v>248</v>
      </c>
      <c r="AP68" s="38">
        <v>294</v>
      </c>
      <c r="AQ68" s="38">
        <v>308</v>
      </c>
      <c r="AR68" s="38">
        <v>406</v>
      </c>
      <c r="AS68" s="38">
        <v>494</v>
      </c>
      <c r="AT68" s="38">
        <v>663.39999999999986</v>
      </c>
      <c r="AU68" s="38">
        <v>876</v>
      </c>
      <c r="AV68" s="38">
        <v>980</v>
      </c>
      <c r="AW68" s="38">
        <v>1380</v>
      </c>
      <c r="AX68" s="38">
        <v>2400</v>
      </c>
      <c r="AY68" s="38">
        <v>2920</v>
      </c>
      <c r="AZ68" s="38">
        <v>3506</v>
      </c>
      <c r="BA68" s="38">
        <v>4214</v>
      </c>
      <c r="BB68" s="38">
        <v>5860</v>
      </c>
      <c r="BC68" s="13">
        <v>6020</v>
      </c>
      <c r="BD68" s="13">
        <v>7420</v>
      </c>
      <c r="BE68" s="13">
        <v>9260</v>
      </c>
      <c r="BF68" s="38">
        <v>10004</v>
      </c>
      <c r="BG68" s="38">
        <v>14294</v>
      </c>
      <c r="BH68" s="38">
        <v>15059</v>
      </c>
      <c r="BI68" s="38">
        <v>34425</v>
      </c>
      <c r="BJ68" s="38">
        <v>46652</v>
      </c>
      <c r="BK68" s="38">
        <v>31823</v>
      </c>
      <c r="BL68" s="38">
        <v>37245</v>
      </c>
      <c r="BM68" s="38">
        <v>34786</v>
      </c>
      <c r="BN68" s="38">
        <v>37971</v>
      </c>
      <c r="BO68" s="38">
        <v>40055</v>
      </c>
      <c r="BP68" s="38">
        <v>29387</v>
      </c>
      <c r="BQ68" s="38">
        <v>31035</v>
      </c>
      <c r="BR68" s="38">
        <v>30384</v>
      </c>
      <c r="BS68" s="38">
        <v>36026</v>
      </c>
      <c r="BT68" s="38">
        <v>29700</v>
      </c>
      <c r="BU68" s="38">
        <v>30800</v>
      </c>
      <c r="BV68" s="38">
        <v>41200</v>
      </c>
      <c r="BW68" s="38">
        <v>42500</v>
      </c>
      <c r="BX68" s="38">
        <v>47900</v>
      </c>
      <c r="BY68" s="38">
        <v>52100</v>
      </c>
      <c r="BZ68" s="38">
        <v>63500</v>
      </c>
      <c r="CA68" s="38"/>
      <c r="CB68" s="38"/>
      <c r="CC68" s="38"/>
      <c r="CD68" s="157"/>
    </row>
    <row r="69" spans="1:82" s="5" customFormat="1" ht="12.75" customHeight="1" x14ac:dyDescent="0.5">
      <c r="A69" s="4"/>
      <c r="B69" s="4"/>
      <c r="C69" s="29" t="s">
        <v>126</v>
      </c>
      <c r="D69" s="31"/>
      <c r="E69" s="4"/>
      <c r="F69" s="4"/>
      <c r="G69" s="4"/>
      <c r="H69" s="4"/>
      <c r="I69" s="4"/>
      <c r="J69" s="4"/>
      <c r="K69" s="4"/>
      <c r="L69" s="4"/>
      <c r="M69" s="4"/>
      <c r="N69" s="24"/>
      <c r="O69" s="24"/>
      <c r="P69" s="24"/>
      <c r="Q69" s="38"/>
      <c r="R69" s="38"/>
      <c r="S69" s="38"/>
      <c r="T69" s="38"/>
      <c r="U69" s="38"/>
      <c r="V69" s="38"/>
      <c r="W69" s="38"/>
      <c r="X69" s="38"/>
      <c r="Y69" s="38"/>
      <c r="Z69" s="38"/>
      <c r="AA69" s="38"/>
      <c r="AB69" s="38"/>
      <c r="AC69" s="38"/>
      <c r="AD69" s="38">
        <v>140</v>
      </c>
      <c r="AE69" s="38">
        <v>150</v>
      </c>
      <c r="AF69" s="38">
        <v>190</v>
      </c>
      <c r="AG69" s="38">
        <v>210</v>
      </c>
      <c r="AH69" s="38">
        <v>242.00000000000003</v>
      </c>
      <c r="AI69" s="38">
        <v>332</v>
      </c>
      <c r="AJ69" s="38">
        <v>440</v>
      </c>
      <c r="AK69" s="38">
        <v>536</v>
      </c>
      <c r="AL69" s="38">
        <v>620</v>
      </c>
      <c r="AM69" s="38">
        <v>886</v>
      </c>
      <c r="AN69" s="38">
        <v>954</v>
      </c>
      <c r="AO69" s="38">
        <v>1152</v>
      </c>
      <c r="AP69" s="38">
        <v>1242</v>
      </c>
      <c r="AQ69" s="38">
        <v>1656</v>
      </c>
      <c r="AR69" s="38">
        <v>2378</v>
      </c>
      <c r="AS69" s="38">
        <v>2250</v>
      </c>
      <c r="AT69" s="38">
        <v>3407.9999999999995</v>
      </c>
      <c r="AU69" s="38">
        <v>3802</v>
      </c>
      <c r="AV69" s="38">
        <v>4284</v>
      </c>
      <c r="AW69" s="38">
        <v>5191.9999999999991</v>
      </c>
      <c r="AX69" s="38">
        <v>4392</v>
      </c>
      <c r="AY69" s="38">
        <v>3582.0000000000005</v>
      </c>
      <c r="AZ69" s="38">
        <v>3284</v>
      </c>
      <c r="BA69" s="38">
        <v>5094</v>
      </c>
      <c r="BB69" s="38">
        <v>4549.9999999999991</v>
      </c>
      <c r="BC69" s="13">
        <v>7446.0000000000018</v>
      </c>
      <c r="BD69" s="13">
        <v>6120</v>
      </c>
      <c r="BE69" s="13">
        <v>9520</v>
      </c>
      <c r="BF69" s="38">
        <v>10055</v>
      </c>
      <c r="BG69" s="38">
        <v>14359</v>
      </c>
      <c r="BH69" s="38">
        <v>13046.000000000002</v>
      </c>
      <c r="BI69" s="38">
        <v>16639</v>
      </c>
      <c r="BJ69" s="38">
        <v>22460</v>
      </c>
      <c r="BK69" s="38">
        <v>25321</v>
      </c>
      <c r="BL69" s="38">
        <v>29280</v>
      </c>
      <c r="BM69" s="38">
        <v>29819</v>
      </c>
      <c r="BN69" s="38">
        <v>34787</v>
      </c>
      <c r="BO69" s="38">
        <v>35988</v>
      </c>
      <c r="BP69" s="38">
        <v>21018</v>
      </c>
      <c r="BQ69" s="38">
        <v>35440</v>
      </c>
      <c r="BR69" s="38">
        <v>26045</v>
      </c>
      <c r="BS69" s="38">
        <v>33854</v>
      </c>
      <c r="BT69" s="38">
        <v>45498</v>
      </c>
      <c r="BU69" s="38">
        <v>44700</v>
      </c>
      <c r="BV69" s="38">
        <v>68000</v>
      </c>
      <c r="BW69" s="38">
        <v>80000</v>
      </c>
      <c r="BX69" s="38">
        <v>132000</v>
      </c>
      <c r="BY69" s="38">
        <v>161000</v>
      </c>
      <c r="BZ69" s="38">
        <v>215000</v>
      </c>
      <c r="CA69" s="38">
        <v>219000</v>
      </c>
      <c r="CB69" s="38">
        <v>336000</v>
      </c>
      <c r="CC69" s="38">
        <v>290000</v>
      </c>
      <c r="CD69" s="157"/>
    </row>
    <row r="70" spans="1:82" s="52" customFormat="1" ht="12.75" customHeight="1" x14ac:dyDescent="0.5">
      <c r="A70" s="48"/>
      <c r="B70" s="48"/>
      <c r="C70" s="49" t="s">
        <v>127</v>
      </c>
      <c r="D70" s="50"/>
      <c r="E70" s="48"/>
      <c r="F70" s="48"/>
      <c r="G70" s="48"/>
      <c r="H70" s="48"/>
      <c r="I70" s="48"/>
      <c r="J70" s="48"/>
      <c r="K70" s="48"/>
      <c r="L70" s="48"/>
      <c r="M70" s="48"/>
      <c r="N70" s="48"/>
      <c r="O70" s="48"/>
      <c r="P70" s="48"/>
      <c r="Q70" s="51"/>
      <c r="R70" s="51"/>
      <c r="S70" s="51"/>
      <c r="T70" s="51"/>
      <c r="U70" s="51"/>
      <c r="V70" s="51"/>
      <c r="W70" s="51"/>
      <c r="X70" s="51"/>
      <c r="Y70" s="51"/>
      <c r="Z70" s="51"/>
      <c r="AA70" s="51"/>
      <c r="AB70" s="51"/>
      <c r="AC70" s="51"/>
      <c r="AD70" s="51">
        <v>18</v>
      </c>
      <c r="AE70" s="51">
        <v>20</v>
      </c>
      <c r="AF70" s="51">
        <v>46</v>
      </c>
      <c r="AG70" s="51">
        <v>62</v>
      </c>
      <c r="AH70" s="51">
        <v>94</v>
      </c>
      <c r="AI70" s="51">
        <v>70</v>
      </c>
      <c r="AJ70" s="51">
        <v>54</v>
      </c>
      <c r="AK70" s="51">
        <v>60</v>
      </c>
      <c r="AL70" s="51">
        <v>82</v>
      </c>
      <c r="AM70" s="51">
        <v>214</v>
      </c>
      <c r="AN70" s="51">
        <v>176</v>
      </c>
      <c r="AO70" s="51">
        <v>122</v>
      </c>
      <c r="AP70" s="51">
        <v>124</v>
      </c>
      <c r="AQ70" s="51">
        <v>190</v>
      </c>
      <c r="AR70" s="51">
        <v>236</v>
      </c>
      <c r="AS70" s="51">
        <v>246</v>
      </c>
      <c r="AT70" s="51">
        <v>556</v>
      </c>
      <c r="AU70" s="51">
        <v>458</v>
      </c>
      <c r="AV70" s="51">
        <v>614</v>
      </c>
      <c r="AW70" s="51">
        <v>1016</v>
      </c>
      <c r="AX70" s="51">
        <v>1320</v>
      </c>
      <c r="AY70" s="51">
        <v>3004</v>
      </c>
      <c r="AZ70" s="51">
        <v>2120</v>
      </c>
      <c r="BA70" s="51">
        <v>3694</v>
      </c>
      <c r="BB70" s="51">
        <v>3398</v>
      </c>
      <c r="BC70" s="51">
        <v>3848</v>
      </c>
      <c r="BD70" s="51">
        <v>3604</v>
      </c>
      <c r="BE70" s="51">
        <v>10056</v>
      </c>
      <c r="BF70" s="51">
        <v>883</v>
      </c>
      <c r="BG70" s="51">
        <v>1244</v>
      </c>
      <c r="BH70" s="51">
        <v>183</v>
      </c>
      <c r="BI70" s="51">
        <v>1203</v>
      </c>
      <c r="BJ70" s="51">
        <v>2000</v>
      </c>
      <c r="BK70" s="51">
        <v>4282</v>
      </c>
      <c r="BL70" s="51">
        <v>0</v>
      </c>
      <c r="BM70" s="51">
        <v>0</v>
      </c>
      <c r="BN70" s="51">
        <v>886</v>
      </c>
      <c r="BO70" s="51">
        <v>1505</v>
      </c>
      <c r="BP70" s="51">
        <v>2411</v>
      </c>
      <c r="BQ70" s="51">
        <v>4465</v>
      </c>
      <c r="BR70" s="51">
        <v>2136</v>
      </c>
      <c r="BS70" s="51">
        <v>7922</v>
      </c>
      <c r="BT70" s="51">
        <v>11113</v>
      </c>
      <c r="BU70" s="51"/>
      <c r="BV70" s="162"/>
      <c r="BW70" s="162"/>
      <c r="BX70" s="162"/>
      <c r="BY70" s="162"/>
      <c r="BZ70" s="162"/>
      <c r="CA70" s="162"/>
      <c r="CB70" s="162"/>
      <c r="CC70" s="162"/>
      <c r="CD70" s="162"/>
    </row>
    <row r="71" spans="1:82" s="52" customFormat="1" ht="12.75" customHeight="1" x14ac:dyDescent="0.5">
      <c r="A71" s="48"/>
      <c r="B71" s="48"/>
      <c r="C71" s="49"/>
      <c r="D71" s="50"/>
      <c r="E71" s="48"/>
      <c r="F71" s="48"/>
      <c r="G71" s="48"/>
      <c r="H71" s="48"/>
      <c r="I71" s="48"/>
      <c r="J71" s="48"/>
      <c r="K71" s="48"/>
      <c r="L71" s="48"/>
      <c r="M71" s="48"/>
      <c r="N71" s="48"/>
      <c r="O71" s="48"/>
      <c r="P71" s="48"/>
      <c r="Q71" s="51"/>
      <c r="R71" s="51"/>
      <c r="S71" s="51"/>
      <c r="T71" s="51"/>
      <c r="U71" s="51"/>
      <c r="V71" s="51"/>
      <c r="W71" s="51"/>
      <c r="X71" s="51"/>
      <c r="Y71" s="51"/>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c r="BC71" s="51"/>
      <c r="BD71" s="51"/>
      <c r="BE71" s="51"/>
      <c r="BF71" s="51"/>
      <c r="BG71" s="51"/>
      <c r="BH71" s="51"/>
      <c r="BI71" s="51"/>
      <c r="BJ71" s="51"/>
      <c r="BK71" s="51"/>
      <c r="BL71" s="51"/>
      <c r="BM71" s="51"/>
      <c r="BN71" s="51"/>
      <c r="BO71" s="51"/>
      <c r="BP71" s="51"/>
      <c r="BQ71" s="51"/>
      <c r="BR71" s="51"/>
      <c r="BS71" s="51"/>
      <c r="BT71" s="51"/>
      <c r="BU71" s="51"/>
      <c r="BV71" s="162"/>
      <c r="BW71" s="162"/>
      <c r="BX71" s="162"/>
      <c r="BY71" s="162"/>
      <c r="BZ71" s="162"/>
      <c r="CA71" s="162"/>
      <c r="CB71" s="162"/>
      <c r="CC71" s="162"/>
      <c r="CD71" s="162"/>
    </row>
    <row r="72" spans="1:82" s="10" customFormat="1" ht="12.75" customHeight="1" x14ac:dyDescent="0.5">
      <c r="A72" s="10" t="s">
        <v>113</v>
      </c>
      <c r="B72" s="10" t="s">
        <v>115</v>
      </c>
      <c r="C72" s="22" t="s">
        <v>128</v>
      </c>
      <c r="D72" s="53"/>
      <c r="Q72" s="13"/>
      <c r="R72" s="13"/>
      <c r="S72" s="13">
        <v>13.200000000000001</v>
      </c>
      <c r="T72" s="13">
        <v>15.2</v>
      </c>
      <c r="U72" s="13">
        <v>15.600000000000001</v>
      </c>
      <c r="V72" s="13">
        <v>8</v>
      </c>
      <c r="W72" s="13">
        <v>32.400000000000006</v>
      </c>
      <c r="X72" s="13">
        <v>28</v>
      </c>
      <c r="Y72" s="13">
        <v>44</v>
      </c>
      <c r="Z72" s="13">
        <v>36</v>
      </c>
      <c r="AA72" s="13">
        <v>34</v>
      </c>
      <c r="AB72" s="13">
        <v>30</v>
      </c>
      <c r="AC72" s="13">
        <v>6</v>
      </c>
      <c r="AD72" s="13">
        <v>6</v>
      </c>
      <c r="AE72" s="13">
        <v>4</v>
      </c>
      <c r="AF72" s="13">
        <v>24</v>
      </c>
      <c r="AG72" s="13">
        <v>60</v>
      </c>
      <c r="AH72" s="13">
        <v>80</v>
      </c>
      <c r="AI72" s="13">
        <v>106</v>
      </c>
      <c r="AJ72" s="13">
        <v>122</v>
      </c>
      <c r="AK72" s="13">
        <v>112</v>
      </c>
      <c r="AL72" s="13">
        <v>114</v>
      </c>
      <c r="AM72" s="13">
        <v>130</v>
      </c>
      <c r="AN72" s="13">
        <v>186</v>
      </c>
      <c r="AO72" s="13">
        <v>240</v>
      </c>
      <c r="AP72" s="13">
        <v>360</v>
      </c>
      <c r="AQ72" s="13">
        <v>380</v>
      </c>
      <c r="AR72" s="13">
        <v>412</v>
      </c>
      <c r="AS72" s="13">
        <v>858</v>
      </c>
      <c r="AT72" s="13">
        <v>1588</v>
      </c>
      <c r="AU72" s="13">
        <v>2114</v>
      </c>
      <c r="AV72" s="13">
        <v>2236</v>
      </c>
      <c r="AW72" s="13">
        <v>1794</v>
      </c>
      <c r="AX72" s="13">
        <v>2570</v>
      </c>
      <c r="AY72" s="13">
        <v>2754</v>
      </c>
      <c r="AZ72" s="13">
        <v>2800</v>
      </c>
      <c r="BA72" s="13">
        <v>2298</v>
      </c>
      <c r="BB72" s="13">
        <v>2500</v>
      </c>
      <c r="BC72" s="13">
        <v>3845</v>
      </c>
      <c r="BD72" s="13">
        <v>3688</v>
      </c>
      <c r="BE72" s="13">
        <v>4144</v>
      </c>
      <c r="BF72" s="13">
        <v>5385</v>
      </c>
      <c r="BG72" s="13">
        <v>5910</v>
      </c>
      <c r="BH72" s="13">
        <v>5330</v>
      </c>
      <c r="BI72" s="13">
        <v>4773</v>
      </c>
      <c r="BJ72" s="13">
        <v>5320</v>
      </c>
      <c r="BK72" s="13">
        <v>7367</v>
      </c>
      <c r="BL72" s="13">
        <v>9039</v>
      </c>
      <c r="BM72" s="13">
        <v>10472</v>
      </c>
      <c r="BN72" s="13">
        <v>10161</v>
      </c>
      <c r="BO72" s="13">
        <v>11087</v>
      </c>
      <c r="BP72" s="13">
        <v>12564</v>
      </c>
      <c r="BQ72" s="13">
        <v>14261</v>
      </c>
      <c r="BR72" s="13">
        <v>16268</v>
      </c>
      <c r="BS72" s="13">
        <v>17603</v>
      </c>
      <c r="BT72" s="13">
        <v>19921</v>
      </c>
      <c r="BU72" s="39">
        <v>22000</v>
      </c>
      <c r="BV72" s="13">
        <v>25608</v>
      </c>
      <c r="BW72" s="13">
        <v>25123</v>
      </c>
      <c r="BX72" s="13">
        <v>37241</v>
      </c>
      <c r="BY72" s="13">
        <v>41184</v>
      </c>
      <c r="BZ72" s="13">
        <v>53663</v>
      </c>
      <c r="CA72" s="13">
        <v>54384</v>
      </c>
      <c r="CB72" s="13"/>
      <c r="CC72" s="13"/>
      <c r="CD72" s="13"/>
    </row>
    <row r="73" spans="1:82" s="5" customFormat="1" ht="12.75" customHeight="1" x14ac:dyDescent="0.5">
      <c r="A73" s="10" t="s">
        <v>113</v>
      </c>
      <c r="B73" s="10" t="s">
        <v>115</v>
      </c>
      <c r="C73" s="22" t="s">
        <v>129</v>
      </c>
      <c r="D73" s="4"/>
      <c r="E73" s="4"/>
      <c r="F73" s="4"/>
      <c r="G73" s="4"/>
      <c r="H73" s="4"/>
      <c r="I73" s="4"/>
      <c r="J73" s="4"/>
      <c r="K73" s="4"/>
      <c r="L73" s="4"/>
      <c r="M73" s="4"/>
      <c r="N73" s="4"/>
      <c r="O73" s="4"/>
      <c r="P73" s="4"/>
      <c r="Q73" s="38"/>
      <c r="R73" s="38">
        <v>22.975999999999999</v>
      </c>
      <c r="S73" s="38"/>
      <c r="T73" s="38"/>
      <c r="U73" s="38"/>
      <c r="V73" s="38"/>
      <c r="W73" s="38"/>
      <c r="X73" s="38"/>
      <c r="Y73" s="38"/>
      <c r="Z73" s="38"/>
      <c r="AA73" s="38"/>
      <c r="AB73" s="38"/>
      <c r="AC73" s="38">
        <v>162</v>
      </c>
      <c r="AD73" s="38"/>
      <c r="AE73" s="38"/>
      <c r="AF73" s="38"/>
      <c r="AG73" s="38"/>
      <c r="AH73" s="38"/>
      <c r="AI73" s="38"/>
      <c r="AJ73" s="38"/>
      <c r="AK73" s="38"/>
      <c r="AL73" s="38">
        <v>552</v>
      </c>
      <c r="AM73" s="38"/>
      <c r="AN73" s="38"/>
      <c r="AO73" s="38"/>
      <c r="AP73" s="38"/>
      <c r="AQ73" s="38"/>
      <c r="AR73" s="38"/>
      <c r="AS73" s="38"/>
      <c r="AT73" s="38"/>
      <c r="AU73" s="38"/>
      <c r="AV73" s="38">
        <v>2740</v>
      </c>
      <c r="AW73" s="38"/>
      <c r="AX73" s="38"/>
      <c r="AY73" s="38"/>
      <c r="AZ73" s="38"/>
      <c r="BA73" s="38"/>
      <c r="BB73" s="38"/>
      <c r="BC73" s="38"/>
      <c r="BD73" s="38"/>
      <c r="BE73" s="38"/>
      <c r="BF73" s="38">
        <v>11299</v>
      </c>
      <c r="BG73" s="38"/>
      <c r="BH73" s="38"/>
      <c r="BI73" s="38"/>
      <c r="BJ73" s="38"/>
      <c r="BK73" s="38"/>
      <c r="BL73" s="38"/>
      <c r="BM73" s="157"/>
      <c r="BN73" s="157"/>
      <c r="BO73" s="157"/>
      <c r="BP73" s="38">
        <v>47493</v>
      </c>
      <c r="BQ73" s="157"/>
      <c r="BR73" s="157"/>
      <c r="BS73" s="157"/>
      <c r="BT73" s="157"/>
      <c r="BU73" s="157"/>
      <c r="BV73" s="157"/>
      <c r="BW73" s="157"/>
      <c r="BX73" s="157"/>
      <c r="BY73" s="157"/>
      <c r="BZ73" s="38">
        <v>159340</v>
      </c>
      <c r="CA73" s="157"/>
      <c r="CB73" s="157"/>
      <c r="CC73" s="157"/>
      <c r="CD73" s="157"/>
    </row>
    <row r="74" spans="1:82" s="5" customFormat="1" ht="12.75" customHeight="1" x14ac:dyDescent="0.5">
      <c r="A74" s="10"/>
      <c r="B74" s="10"/>
      <c r="C74" s="22"/>
      <c r="D74" s="4"/>
      <c r="E74" s="4"/>
      <c r="F74" s="4"/>
      <c r="G74" s="4"/>
      <c r="H74" s="4"/>
      <c r="I74" s="4"/>
      <c r="J74" s="4"/>
      <c r="K74" s="4"/>
      <c r="L74" s="4"/>
      <c r="M74" s="4"/>
      <c r="N74" s="4"/>
      <c r="O74" s="4"/>
      <c r="P74" s="4"/>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c r="BK74" s="38"/>
      <c r="BL74" s="38"/>
      <c r="BM74" s="157"/>
      <c r="BN74" s="157"/>
      <c r="BO74" s="157"/>
      <c r="BP74" s="38"/>
      <c r="BQ74" s="157"/>
      <c r="BR74" s="157"/>
      <c r="BS74" s="157"/>
      <c r="BT74" s="157"/>
      <c r="BU74" s="157"/>
      <c r="BV74" s="157"/>
      <c r="BW74" s="157"/>
      <c r="BX74" s="157"/>
      <c r="BY74" s="157"/>
      <c r="BZ74" s="38"/>
      <c r="CA74" s="157"/>
      <c r="CB74" s="157"/>
      <c r="CC74" s="157"/>
      <c r="CD74" s="157"/>
    </row>
    <row r="75" spans="1:82" s="202" customFormat="1" ht="12.75" customHeight="1" x14ac:dyDescent="0.5">
      <c r="C75" s="203" t="s">
        <v>130</v>
      </c>
    </row>
    <row r="76" spans="1:82" s="202" customFormat="1" ht="12.75" customHeight="1" x14ac:dyDescent="0.5">
      <c r="C76" s="204" t="s">
        <v>131</v>
      </c>
      <c r="N76" s="205"/>
      <c r="O76" s="205"/>
      <c r="P76" s="205"/>
      <c r="Q76" s="205"/>
      <c r="R76" s="205"/>
      <c r="S76" s="205"/>
      <c r="T76" s="205"/>
      <c r="U76" s="205"/>
      <c r="V76" s="205"/>
      <c r="W76" s="205"/>
      <c r="X76" s="205"/>
      <c r="Y76" s="205"/>
      <c r="Z76" s="205"/>
      <c r="AA76" s="205"/>
      <c r="AB76" s="205"/>
      <c r="AC76" s="205"/>
      <c r="AD76" s="205">
        <f t="shared" ref="AD76:BI76" si="3">AD60+AD58</f>
        <v>1192.2</v>
      </c>
      <c r="AE76" s="205">
        <f t="shared" si="3"/>
        <v>1314</v>
      </c>
      <c r="AF76" s="205">
        <f t="shared" si="3"/>
        <v>1606</v>
      </c>
      <c r="AG76" s="205">
        <f t="shared" si="3"/>
        <v>1662.4</v>
      </c>
      <c r="AH76" s="205">
        <f t="shared" si="3"/>
        <v>1799.3999999999999</v>
      </c>
      <c r="AI76" s="205">
        <f t="shared" si="3"/>
        <v>1968.1999999999998</v>
      </c>
      <c r="AJ76" s="205">
        <f t="shared" si="3"/>
        <v>2178</v>
      </c>
      <c r="AK76" s="205">
        <f t="shared" si="3"/>
        <v>2340</v>
      </c>
      <c r="AL76" s="205">
        <f t="shared" si="3"/>
        <v>2643.4</v>
      </c>
      <c r="AM76" s="205">
        <f t="shared" si="3"/>
        <v>3291.8000000000006</v>
      </c>
      <c r="AN76" s="205">
        <f t="shared" si="3"/>
        <v>3806</v>
      </c>
      <c r="AO76" s="205">
        <f t="shared" si="3"/>
        <v>4316.6000000000004</v>
      </c>
      <c r="AP76" s="205">
        <f t="shared" si="3"/>
        <v>4912.6000000000004</v>
      </c>
      <c r="AQ76" s="205">
        <f t="shared" si="3"/>
        <v>6264.1999999999989</v>
      </c>
      <c r="AR76" s="205">
        <f t="shared" si="3"/>
        <v>7632</v>
      </c>
      <c r="AS76" s="205">
        <f t="shared" si="3"/>
        <v>8465.9999999999982</v>
      </c>
      <c r="AT76" s="205">
        <f t="shared" si="3"/>
        <v>11765.400000000001</v>
      </c>
      <c r="AU76" s="205">
        <f t="shared" si="3"/>
        <v>14048</v>
      </c>
      <c r="AV76" s="205">
        <f t="shared" si="3"/>
        <v>15689.999999999998</v>
      </c>
      <c r="AW76" s="205">
        <f t="shared" si="3"/>
        <v>19332</v>
      </c>
      <c r="AX76" s="205">
        <f t="shared" si="3"/>
        <v>22294.000000000004</v>
      </c>
      <c r="AY76" s="205">
        <f t="shared" si="3"/>
        <v>22092</v>
      </c>
      <c r="AZ76" s="205">
        <f t="shared" si="3"/>
        <v>24244</v>
      </c>
      <c r="BA76" s="205">
        <f t="shared" si="3"/>
        <v>28226.000000000004</v>
      </c>
      <c r="BB76" s="205">
        <f t="shared" si="3"/>
        <v>30920</v>
      </c>
      <c r="BC76" s="205">
        <f t="shared" si="3"/>
        <v>38750</v>
      </c>
      <c r="BD76" s="205">
        <f t="shared" si="3"/>
        <v>42092</v>
      </c>
      <c r="BE76" s="205">
        <f t="shared" si="3"/>
        <v>55866</v>
      </c>
      <c r="BF76" s="205">
        <f t="shared" si="3"/>
        <v>57413</v>
      </c>
      <c r="BG76" s="205">
        <f t="shared" si="3"/>
        <v>68472</v>
      </c>
      <c r="BH76" s="205">
        <f t="shared" si="3"/>
        <v>74060.999999999985</v>
      </c>
      <c r="BI76" s="205">
        <f t="shared" si="3"/>
        <v>105616</v>
      </c>
      <c r="BJ76" s="205">
        <f t="shared" ref="BJ76:BZ76" si="4">BJ60+BJ58</f>
        <v>134600.00000000003</v>
      </c>
      <c r="BK76" s="205">
        <f t="shared" si="4"/>
        <v>136868.00000000003</v>
      </c>
      <c r="BL76" s="205">
        <f t="shared" si="4"/>
        <v>158869</v>
      </c>
      <c r="BM76" s="205">
        <f t="shared" si="4"/>
        <v>179105</v>
      </c>
      <c r="BN76" s="205">
        <f t="shared" si="4"/>
        <v>201825</v>
      </c>
      <c r="BO76" s="205">
        <f t="shared" si="4"/>
        <v>204235</v>
      </c>
      <c r="BP76" s="205">
        <f t="shared" si="4"/>
        <v>178680</v>
      </c>
      <c r="BQ76" s="205">
        <f t="shared" si="4"/>
        <v>221519</v>
      </c>
      <c r="BR76" s="205">
        <f t="shared" si="4"/>
        <v>226373</v>
      </c>
      <c r="BS76" s="205">
        <f t="shared" si="4"/>
        <v>253294</v>
      </c>
      <c r="BT76" s="205">
        <f t="shared" si="4"/>
        <v>309468</v>
      </c>
      <c r="BU76" s="205">
        <f t="shared" si="4"/>
        <v>310004</v>
      </c>
      <c r="BV76" s="205">
        <f t="shared" si="4"/>
        <v>390601</v>
      </c>
      <c r="BW76" s="205">
        <f t="shared" si="4"/>
        <v>429405</v>
      </c>
      <c r="BX76" s="205">
        <f t="shared" si="4"/>
        <v>545362</v>
      </c>
      <c r="BY76" s="205">
        <f t="shared" si="4"/>
        <v>611447</v>
      </c>
      <c r="BZ76" s="205">
        <f t="shared" si="4"/>
        <v>738775</v>
      </c>
      <c r="CA76" s="205"/>
      <c r="CB76" s="205"/>
      <c r="CC76" s="205"/>
    </row>
    <row r="77" spans="1:82" s="202" customFormat="1" ht="12.75" customHeight="1" x14ac:dyDescent="0.5">
      <c r="B77" s="202" t="s">
        <v>132</v>
      </c>
      <c r="C77" s="206" t="s">
        <v>133</v>
      </c>
      <c r="N77" s="205"/>
      <c r="O77" s="205"/>
      <c r="P77" s="205"/>
      <c r="Q77" s="205"/>
      <c r="R77" s="205"/>
      <c r="S77" s="205"/>
      <c r="T77" s="205"/>
      <c r="U77" s="205"/>
      <c r="V77" s="205"/>
      <c r="W77" s="205"/>
      <c r="X77" s="205"/>
      <c r="Y77" s="205"/>
      <c r="Z77" s="205"/>
      <c r="AA77" s="205"/>
      <c r="AB77" s="205"/>
      <c r="AC77" s="205"/>
      <c r="AD77" s="205">
        <f t="shared" ref="AD77:BG77" si="5">AD39</f>
        <v>552.6</v>
      </c>
      <c r="AE77" s="205">
        <f t="shared" si="5"/>
        <v>524</v>
      </c>
      <c r="AF77" s="205">
        <f t="shared" si="5"/>
        <v>640</v>
      </c>
      <c r="AG77" s="205">
        <f t="shared" si="5"/>
        <v>726</v>
      </c>
      <c r="AH77" s="205">
        <f t="shared" si="5"/>
        <v>804</v>
      </c>
      <c r="AI77" s="205">
        <f t="shared" si="5"/>
        <v>866</v>
      </c>
      <c r="AJ77" s="205">
        <f t="shared" si="5"/>
        <v>910</v>
      </c>
      <c r="AK77" s="205">
        <f t="shared" si="5"/>
        <v>988</v>
      </c>
      <c r="AL77" s="205">
        <f t="shared" si="5"/>
        <v>1016.0000000000001</v>
      </c>
      <c r="AM77" s="205">
        <f t="shared" si="5"/>
        <v>1143.7013201365187</v>
      </c>
      <c r="AN77" s="205">
        <f t="shared" si="5"/>
        <v>1238.8740599999999</v>
      </c>
      <c r="AO77" s="205">
        <f t="shared" si="5"/>
        <v>1357.92</v>
      </c>
      <c r="AP77" s="205">
        <f t="shared" si="5"/>
        <v>1628.8000000000002</v>
      </c>
      <c r="AQ77" s="205">
        <f t="shared" si="5"/>
        <v>1960.402</v>
      </c>
      <c r="AR77" s="205">
        <f t="shared" si="5"/>
        <v>2609.2959999999998</v>
      </c>
      <c r="AS77" s="205">
        <f t="shared" si="5"/>
        <v>2976.5159999999996</v>
      </c>
      <c r="AT77" s="205">
        <f t="shared" si="5"/>
        <v>3336.2400000000002</v>
      </c>
      <c r="AU77" s="205">
        <f t="shared" si="5"/>
        <v>3983.5559999999996</v>
      </c>
      <c r="AV77" s="205">
        <f t="shared" si="5"/>
        <v>4787.3380530973454</v>
      </c>
      <c r="AW77" s="205">
        <f t="shared" si="5"/>
        <v>6030</v>
      </c>
      <c r="AX77" s="205">
        <f t="shared" si="5"/>
        <v>6752</v>
      </c>
      <c r="AY77" s="205">
        <f t="shared" si="5"/>
        <v>7472</v>
      </c>
      <c r="AZ77" s="205">
        <f t="shared" si="5"/>
        <v>8020</v>
      </c>
      <c r="BA77" s="205">
        <f t="shared" si="5"/>
        <v>9426</v>
      </c>
      <c r="BB77" s="205">
        <f t="shared" si="5"/>
        <v>10971.999999999998</v>
      </c>
      <c r="BC77" s="205">
        <f t="shared" si="5"/>
        <v>11990</v>
      </c>
      <c r="BD77" s="205">
        <f t="shared" si="5"/>
        <v>14310</v>
      </c>
      <c r="BE77" s="205">
        <f t="shared" si="5"/>
        <v>16286</v>
      </c>
      <c r="BF77" s="205">
        <f t="shared" si="5"/>
        <v>17192.000000000004</v>
      </c>
      <c r="BG77" s="205">
        <f t="shared" si="5"/>
        <v>19478</v>
      </c>
      <c r="BH77" s="207">
        <f>BH65</f>
        <v>21464</v>
      </c>
      <c r="BI77" s="207">
        <f>BI65</f>
        <v>26910</v>
      </c>
      <c r="BJ77" s="207">
        <v>31546</v>
      </c>
      <c r="BK77" s="207">
        <v>42830</v>
      </c>
      <c r="BL77" s="207">
        <v>45886</v>
      </c>
      <c r="BM77" s="205">
        <f t="shared" ref="BM77:BZ77" si="6">BM39</f>
        <v>47058</v>
      </c>
      <c r="BN77" s="205">
        <f t="shared" si="6"/>
        <v>71800</v>
      </c>
      <c r="BO77" s="205">
        <f t="shared" si="6"/>
        <v>75390</v>
      </c>
      <c r="BP77" s="205">
        <f t="shared" si="6"/>
        <v>78942</v>
      </c>
      <c r="BQ77" s="205">
        <f t="shared" si="6"/>
        <v>82529</v>
      </c>
      <c r="BR77" s="205">
        <f t="shared" si="6"/>
        <v>93960</v>
      </c>
      <c r="BS77" s="205">
        <f t="shared" si="6"/>
        <v>100239.00000000001</v>
      </c>
      <c r="BT77" s="205">
        <f t="shared" si="6"/>
        <v>115638</v>
      </c>
      <c r="BU77" s="205">
        <f t="shared" si="6"/>
        <v>125323</v>
      </c>
      <c r="BV77" s="205">
        <f t="shared" si="6"/>
        <v>119793</v>
      </c>
      <c r="BW77" s="205">
        <f t="shared" si="6"/>
        <v>132787</v>
      </c>
      <c r="BX77" s="205">
        <f t="shared" si="6"/>
        <v>138204</v>
      </c>
      <c r="BY77" s="205">
        <f t="shared" si="6"/>
        <v>148448</v>
      </c>
      <c r="BZ77" s="205">
        <f t="shared" si="6"/>
        <v>163421</v>
      </c>
      <c r="CA77" s="205"/>
      <c r="CB77" s="205"/>
      <c r="CC77" s="205"/>
    </row>
    <row r="78" spans="1:82" s="202" customFormat="1" ht="12.75" customHeight="1" x14ac:dyDescent="0.5">
      <c r="B78" s="202" t="s">
        <v>134</v>
      </c>
      <c r="C78" s="206" t="s">
        <v>135</v>
      </c>
      <c r="N78" s="205"/>
      <c r="O78" s="205"/>
      <c r="P78" s="205"/>
      <c r="Q78" s="205"/>
      <c r="R78" s="205"/>
      <c r="S78" s="205"/>
      <c r="T78" s="205"/>
      <c r="U78" s="205"/>
      <c r="V78" s="205"/>
      <c r="W78" s="205"/>
      <c r="X78" s="205"/>
      <c r="Y78" s="205"/>
      <c r="Z78" s="205"/>
      <c r="AA78" s="205"/>
      <c r="AB78" s="205"/>
      <c r="AC78" s="205"/>
      <c r="AD78" s="205">
        <f>AD76-AD77-AD79-AD80-AD81</f>
        <v>411.6</v>
      </c>
      <c r="AE78" s="205">
        <f t="shared" ref="AE78:AJ78" si="7">AE76-AE77-AE79-AE80-AE81</f>
        <v>546</v>
      </c>
      <c r="AF78" s="205">
        <f t="shared" si="7"/>
        <v>662</v>
      </c>
      <c r="AG78" s="205">
        <f t="shared" si="7"/>
        <v>572.40000000000009</v>
      </c>
      <c r="AH78" s="205">
        <f t="shared" si="7"/>
        <v>563.39999999999986</v>
      </c>
      <c r="AI78" s="205">
        <f t="shared" si="7"/>
        <v>546.19999999999982</v>
      </c>
      <c r="AJ78" s="205">
        <f t="shared" si="7"/>
        <v>548</v>
      </c>
      <c r="AK78" s="205">
        <f>AK76-AK77-AK79-AK80-AK81</f>
        <v>528</v>
      </c>
      <c r="AL78" s="205">
        <f t="shared" ref="AL78:AO78" si="8">AL76-AL77-AL79-AL80-AL81</f>
        <v>733.40000000000009</v>
      </c>
      <c r="AM78" s="205">
        <f t="shared" si="8"/>
        <v>958.09867986348218</v>
      </c>
      <c r="AN78" s="205">
        <f t="shared" si="8"/>
        <v>1237.1259399999999</v>
      </c>
      <c r="AO78" s="205">
        <f t="shared" si="8"/>
        <v>1318.6800000000003</v>
      </c>
      <c r="AP78" s="205">
        <f>AP76-AP77-AP79-AP80-AP81</f>
        <v>1387.8000000000002</v>
      </c>
      <c r="AQ78" s="205">
        <f t="shared" ref="AQ78:AV78" si="9">AQ76-AQ77-AQ79-AQ80-AQ81</f>
        <v>1959.7979999999989</v>
      </c>
      <c r="AR78" s="205">
        <f t="shared" si="9"/>
        <v>1826.7039999999997</v>
      </c>
      <c r="AS78" s="205">
        <f t="shared" si="9"/>
        <v>1887.4839999999986</v>
      </c>
      <c r="AT78" s="205">
        <f t="shared" si="9"/>
        <v>2769.7600000000025</v>
      </c>
      <c r="AU78" s="205">
        <f t="shared" si="9"/>
        <v>3272.4439999999995</v>
      </c>
      <c r="AV78" s="205">
        <f t="shared" si="9"/>
        <v>3402.6619469026518</v>
      </c>
      <c r="AW78" s="205">
        <f>AW76-AW77-AW79-AW80-AW81</f>
        <v>4936.0000000000009</v>
      </c>
      <c r="AX78" s="205">
        <f t="shared" ref="AX78:BC78" si="10">AX76-AX77-AX79-AX80-AX81</f>
        <v>6180.0000000000036</v>
      </c>
      <c r="AY78" s="205">
        <f t="shared" si="10"/>
        <v>5364</v>
      </c>
      <c r="AZ78" s="205">
        <f t="shared" si="10"/>
        <v>6634</v>
      </c>
      <c r="BA78" s="205">
        <f t="shared" si="10"/>
        <v>7194.0000000000036</v>
      </c>
      <c r="BB78" s="205">
        <f t="shared" si="10"/>
        <v>7038.0000000000009</v>
      </c>
      <c r="BC78" s="205">
        <f t="shared" si="10"/>
        <v>9448.9999999999982</v>
      </c>
      <c r="BD78" s="205">
        <f>BD76-BD77-BD79-BD80-BD81</f>
        <v>10554</v>
      </c>
      <c r="BE78" s="205">
        <f>BE76-BE77-BE79-BE80-BE81</f>
        <v>16656</v>
      </c>
      <c r="BF78" s="205">
        <f t="shared" ref="BF78:BZ78" si="11">BF76-BF77-BF79-BF80-BF81</f>
        <v>14777</v>
      </c>
      <c r="BG78" s="205">
        <f t="shared" si="11"/>
        <v>14431</v>
      </c>
      <c r="BH78" s="205">
        <f t="shared" si="11"/>
        <v>19161.999999999985</v>
      </c>
      <c r="BI78" s="205">
        <f t="shared" si="11"/>
        <v>22869</v>
      </c>
      <c r="BJ78" s="205">
        <f t="shared" si="11"/>
        <v>28622.000000000029</v>
      </c>
      <c r="BK78" s="205">
        <f t="shared" si="11"/>
        <v>29527.000000000029</v>
      </c>
      <c r="BL78" s="205">
        <f t="shared" si="11"/>
        <v>37419</v>
      </c>
      <c r="BM78" s="205">
        <f t="shared" si="11"/>
        <v>56970</v>
      </c>
      <c r="BN78" s="205">
        <f t="shared" si="11"/>
        <v>47106</v>
      </c>
      <c r="BO78" s="205">
        <f t="shared" si="11"/>
        <v>41715</v>
      </c>
      <c r="BP78" s="205">
        <f t="shared" si="11"/>
        <v>36769</v>
      </c>
      <c r="BQ78" s="205">
        <f t="shared" si="11"/>
        <v>58254</v>
      </c>
      <c r="BR78" s="205">
        <f t="shared" si="11"/>
        <v>59716</v>
      </c>
      <c r="BS78" s="205">
        <f t="shared" si="11"/>
        <v>65572</v>
      </c>
      <c r="BT78" s="205">
        <f t="shared" si="11"/>
        <v>98711</v>
      </c>
      <c r="BU78" s="205">
        <f t="shared" si="11"/>
        <v>87181</v>
      </c>
      <c r="BV78" s="205">
        <f t="shared" si="11"/>
        <v>136000</v>
      </c>
      <c r="BW78" s="205">
        <f t="shared" si="11"/>
        <v>148995</v>
      </c>
      <c r="BX78" s="205">
        <f t="shared" si="11"/>
        <v>190017</v>
      </c>
      <c r="BY78" s="205">
        <f t="shared" si="11"/>
        <v>208715</v>
      </c>
      <c r="BZ78" s="205">
        <f t="shared" si="11"/>
        <v>243191</v>
      </c>
      <c r="CA78" s="205"/>
      <c r="CB78" s="205"/>
      <c r="CC78" s="205"/>
    </row>
    <row r="79" spans="1:82" s="202" customFormat="1" ht="12.75" customHeight="1" x14ac:dyDescent="0.5">
      <c r="C79" s="206" t="s">
        <v>136</v>
      </c>
      <c r="N79" s="205"/>
      <c r="O79" s="205"/>
      <c r="P79" s="205"/>
      <c r="Q79" s="205"/>
      <c r="R79" s="205"/>
      <c r="S79" s="205"/>
      <c r="T79" s="205"/>
      <c r="U79" s="205"/>
      <c r="V79" s="205"/>
      <c r="W79" s="205"/>
      <c r="X79" s="205"/>
      <c r="Y79" s="205"/>
      <c r="Z79" s="205"/>
      <c r="AA79" s="205"/>
      <c r="AB79" s="205"/>
      <c r="AC79" s="205"/>
      <c r="AD79" s="205">
        <f t="shared" ref="AD79:BI79" si="12">AD68</f>
        <v>82</v>
      </c>
      <c r="AE79" s="205">
        <f t="shared" si="12"/>
        <v>90</v>
      </c>
      <c r="AF79" s="205">
        <f t="shared" si="12"/>
        <v>90</v>
      </c>
      <c r="AG79" s="205">
        <f t="shared" si="12"/>
        <v>94</v>
      </c>
      <c r="AH79" s="205">
        <f t="shared" si="12"/>
        <v>110</v>
      </c>
      <c r="AI79" s="205">
        <f t="shared" si="12"/>
        <v>117.99999999999999</v>
      </c>
      <c r="AJ79" s="205">
        <f t="shared" si="12"/>
        <v>158</v>
      </c>
      <c r="AK79" s="205">
        <f t="shared" si="12"/>
        <v>176</v>
      </c>
      <c r="AL79" s="205">
        <f t="shared" si="12"/>
        <v>160</v>
      </c>
      <c r="AM79" s="205">
        <f t="shared" si="12"/>
        <v>174</v>
      </c>
      <c r="AN79" s="205">
        <f t="shared" si="12"/>
        <v>190</v>
      </c>
      <c r="AO79" s="205">
        <f t="shared" si="12"/>
        <v>248</v>
      </c>
      <c r="AP79" s="205">
        <f t="shared" si="12"/>
        <v>294</v>
      </c>
      <c r="AQ79" s="205">
        <f t="shared" si="12"/>
        <v>308</v>
      </c>
      <c r="AR79" s="205">
        <f t="shared" si="12"/>
        <v>406</v>
      </c>
      <c r="AS79" s="205">
        <f t="shared" si="12"/>
        <v>494</v>
      </c>
      <c r="AT79" s="205">
        <f t="shared" si="12"/>
        <v>663.39999999999986</v>
      </c>
      <c r="AU79" s="205">
        <f t="shared" si="12"/>
        <v>876</v>
      </c>
      <c r="AV79" s="205">
        <f t="shared" si="12"/>
        <v>980</v>
      </c>
      <c r="AW79" s="205">
        <f t="shared" si="12"/>
        <v>1380</v>
      </c>
      <c r="AX79" s="205">
        <f t="shared" si="12"/>
        <v>2400</v>
      </c>
      <c r="AY79" s="205">
        <f t="shared" si="12"/>
        <v>2920</v>
      </c>
      <c r="AZ79" s="205">
        <f t="shared" si="12"/>
        <v>3506</v>
      </c>
      <c r="BA79" s="205">
        <f t="shared" si="12"/>
        <v>4214</v>
      </c>
      <c r="BB79" s="205">
        <f t="shared" si="12"/>
        <v>5860</v>
      </c>
      <c r="BC79" s="205">
        <f t="shared" si="12"/>
        <v>6020</v>
      </c>
      <c r="BD79" s="205">
        <f t="shared" si="12"/>
        <v>7420</v>
      </c>
      <c r="BE79" s="205">
        <f t="shared" si="12"/>
        <v>9260</v>
      </c>
      <c r="BF79" s="205">
        <f t="shared" si="12"/>
        <v>10004</v>
      </c>
      <c r="BG79" s="205">
        <f t="shared" si="12"/>
        <v>14294</v>
      </c>
      <c r="BH79" s="205">
        <f t="shared" si="12"/>
        <v>15059</v>
      </c>
      <c r="BI79" s="205">
        <f t="shared" si="12"/>
        <v>34425</v>
      </c>
      <c r="BJ79" s="205">
        <f t="shared" ref="BJ79:BZ79" si="13">BJ68</f>
        <v>46652</v>
      </c>
      <c r="BK79" s="205">
        <f t="shared" si="13"/>
        <v>31823</v>
      </c>
      <c r="BL79" s="205">
        <f t="shared" si="13"/>
        <v>37245</v>
      </c>
      <c r="BM79" s="205">
        <f t="shared" si="13"/>
        <v>34786</v>
      </c>
      <c r="BN79" s="205">
        <f t="shared" si="13"/>
        <v>37971</v>
      </c>
      <c r="BO79" s="205">
        <f t="shared" si="13"/>
        <v>40055</v>
      </c>
      <c r="BP79" s="205">
        <f t="shared" si="13"/>
        <v>29387</v>
      </c>
      <c r="BQ79" s="205">
        <f t="shared" si="13"/>
        <v>31035</v>
      </c>
      <c r="BR79" s="205">
        <f t="shared" si="13"/>
        <v>30384</v>
      </c>
      <c r="BS79" s="205">
        <f t="shared" si="13"/>
        <v>36026</v>
      </c>
      <c r="BT79" s="205">
        <f t="shared" si="13"/>
        <v>29700</v>
      </c>
      <c r="BU79" s="205">
        <f t="shared" si="13"/>
        <v>30800</v>
      </c>
      <c r="BV79" s="205">
        <f t="shared" si="13"/>
        <v>41200</v>
      </c>
      <c r="BW79" s="205">
        <f t="shared" si="13"/>
        <v>42500</v>
      </c>
      <c r="BX79" s="205">
        <f t="shared" si="13"/>
        <v>47900</v>
      </c>
      <c r="BY79" s="205">
        <f t="shared" si="13"/>
        <v>52100</v>
      </c>
      <c r="BZ79" s="205">
        <f t="shared" si="13"/>
        <v>63500</v>
      </c>
      <c r="CA79" s="205"/>
      <c r="CB79" s="205"/>
      <c r="CC79" s="205"/>
    </row>
    <row r="80" spans="1:82" s="202" customFormat="1" ht="12.75" customHeight="1" x14ac:dyDescent="0.5">
      <c r="C80" s="206" t="s">
        <v>137</v>
      </c>
      <c r="N80" s="205"/>
      <c r="O80" s="205"/>
      <c r="P80" s="205"/>
      <c r="Q80" s="205"/>
      <c r="R80" s="205"/>
      <c r="S80" s="205"/>
      <c r="T80" s="205"/>
      <c r="U80" s="205"/>
      <c r="V80" s="205"/>
      <c r="W80" s="205"/>
      <c r="X80" s="205"/>
      <c r="Y80" s="205"/>
      <c r="Z80" s="205"/>
      <c r="AA80" s="205"/>
      <c r="AB80" s="205"/>
      <c r="AC80" s="205"/>
      <c r="AD80" s="205">
        <f t="shared" ref="AD80:BI80" si="14">AD72</f>
        <v>6</v>
      </c>
      <c r="AE80" s="205">
        <f t="shared" si="14"/>
        <v>4</v>
      </c>
      <c r="AF80" s="205">
        <f t="shared" si="14"/>
        <v>24</v>
      </c>
      <c r="AG80" s="205">
        <f t="shared" si="14"/>
        <v>60</v>
      </c>
      <c r="AH80" s="205">
        <f t="shared" si="14"/>
        <v>80</v>
      </c>
      <c r="AI80" s="205">
        <f t="shared" si="14"/>
        <v>106</v>
      </c>
      <c r="AJ80" s="205">
        <f t="shared" si="14"/>
        <v>122</v>
      </c>
      <c r="AK80" s="205">
        <f t="shared" si="14"/>
        <v>112</v>
      </c>
      <c r="AL80" s="205">
        <f t="shared" si="14"/>
        <v>114</v>
      </c>
      <c r="AM80" s="205">
        <f t="shared" si="14"/>
        <v>130</v>
      </c>
      <c r="AN80" s="205">
        <f t="shared" si="14"/>
        <v>186</v>
      </c>
      <c r="AO80" s="205">
        <f t="shared" si="14"/>
        <v>240</v>
      </c>
      <c r="AP80" s="205">
        <f t="shared" si="14"/>
        <v>360</v>
      </c>
      <c r="AQ80" s="205">
        <f t="shared" si="14"/>
        <v>380</v>
      </c>
      <c r="AR80" s="205">
        <f t="shared" si="14"/>
        <v>412</v>
      </c>
      <c r="AS80" s="205">
        <f t="shared" si="14"/>
        <v>858</v>
      </c>
      <c r="AT80" s="205">
        <f t="shared" si="14"/>
        <v>1588</v>
      </c>
      <c r="AU80" s="205">
        <f t="shared" si="14"/>
        <v>2114</v>
      </c>
      <c r="AV80" s="205">
        <f t="shared" si="14"/>
        <v>2236</v>
      </c>
      <c r="AW80" s="205">
        <f t="shared" si="14"/>
        <v>1794</v>
      </c>
      <c r="AX80" s="205">
        <f t="shared" si="14"/>
        <v>2570</v>
      </c>
      <c r="AY80" s="205">
        <f t="shared" si="14"/>
        <v>2754</v>
      </c>
      <c r="AZ80" s="205">
        <f t="shared" si="14"/>
        <v>2800</v>
      </c>
      <c r="BA80" s="205">
        <f t="shared" si="14"/>
        <v>2298</v>
      </c>
      <c r="BB80" s="205">
        <f t="shared" si="14"/>
        <v>2500</v>
      </c>
      <c r="BC80" s="205">
        <f t="shared" si="14"/>
        <v>3845</v>
      </c>
      <c r="BD80" s="205">
        <f t="shared" si="14"/>
        <v>3688</v>
      </c>
      <c r="BE80" s="205">
        <f t="shared" si="14"/>
        <v>4144</v>
      </c>
      <c r="BF80" s="205">
        <f t="shared" si="14"/>
        <v>5385</v>
      </c>
      <c r="BG80" s="205">
        <f t="shared" si="14"/>
        <v>5910</v>
      </c>
      <c r="BH80" s="205">
        <f t="shared" si="14"/>
        <v>5330</v>
      </c>
      <c r="BI80" s="205">
        <f t="shared" si="14"/>
        <v>4773</v>
      </c>
      <c r="BJ80" s="205">
        <f t="shared" ref="BJ80:BZ80" si="15">BJ72</f>
        <v>5320</v>
      </c>
      <c r="BK80" s="205">
        <f t="shared" si="15"/>
        <v>7367</v>
      </c>
      <c r="BL80" s="205">
        <f t="shared" si="15"/>
        <v>9039</v>
      </c>
      <c r="BM80" s="205">
        <f t="shared" si="15"/>
        <v>10472</v>
      </c>
      <c r="BN80" s="205">
        <f t="shared" si="15"/>
        <v>10161</v>
      </c>
      <c r="BO80" s="205">
        <f t="shared" si="15"/>
        <v>11087</v>
      </c>
      <c r="BP80" s="205">
        <f t="shared" si="15"/>
        <v>12564</v>
      </c>
      <c r="BQ80" s="205">
        <f t="shared" si="15"/>
        <v>14261</v>
      </c>
      <c r="BR80" s="205">
        <f t="shared" si="15"/>
        <v>16268</v>
      </c>
      <c r="BS80" s="205">
        <f t="shared" si="15"/>
        <v>17603</v>
      </c>
      <c r="BT80" s="205">
        <f t="shared" si="15"/>
        <v>19921</v>
      </c>
      <c r="BU80" s="205">
        <f t="shared" si="15"/>
        <v>22000</v>
      </c>
      <c r="BV80" s="205">
        <f t="shared" si="15"/>
        <v>25608</v>
      </c>
      <c r="BW80" s="205">
        <f t="shared" si="15"/>
        <v>25123</v>
      </c>
      <c r="BX80" s="205">
        <f t="shared" si="15"/>
        <v>37241</v>
      </c>
      <c r="BY80" s="205">
        <f t="shared" si="15"/>
        <v>41184</v>
      </c>
      <c r="BZ80" s="205">
        <f t="shared" si="15"/>
        <v>53663</v>
      </c>
      <c r="CA80" s="205"/>
      <c r="CB80" s="205"/>
      <c r="CC80" s="205"/>
    </row>
    <row r="81" spans="1:83" s="202" customFormat="1" ht="12.75" customHeight="1" x14ac:dyDescent="0.5">
      <c r="C81" s="206" t="s">
        <v>138</v>
      </c>
      <c r="N81" s="205"/>
      <c r="O81" s="205"/>
      <c r="P81" s="205"/>
      <c r="Q81" s="205"/>
      <c r="R81" s="205"/>
      <c r="S81" s="205"/>
      <c r="T81" s="205"/>
      <c r="U81" s="205"/>
      <c r="V81" s="205"/>
      <c r="W81" s="205"/>
      <c r="X81" s="205"/>
      <c r="Y81" s="205"/>
      <c r="Z81" s="205"/>
      <c r="AA81" s="205"/>
      <c r="AB81" s="205"/>
      <c r="AC81" s="205"/>
      <c r="AD81" s="205">
        <f t="shared" ref="AD81:BI81" si="16">AD69</f>
        <v>140</v>
      </c>
      <c r="AE81" s="205">
        <f t="shared" si="16"/>
        <v>150</v>
      </c>
      <c r="AF81" s="205">
        <f t="shared" si="16"/>
        <v>190</v>
      </c>
      <c r="AG81" s="205">
        <f t="shared" si="16"/>
        <v>210</v>
      </c>
      <c r="AH81" s="205">
        <f t="shared" si="16"/>
        <v>242.00000000000003</v>
      </c>
      <c r="AI81" s="205">
        <f t="shared" si="16"/>
        <v>332</v>
      </c>
      <c r="AJ81" s="205">
        <f t="shared" si="16"/>
        <v>440</v>
      </c>
      <c r="AK81" s="205">
        <f t="shared" si="16"/>
        <v>536</v>
      </c>
      <c r="AL81" s="205">
        <f t="shared" si="16"/>
        <v>620</v>
      </c>
      <c r="AM81" s="205">
        <f t="shared" si="16"/>
        <v>886</v>
      </c>
      <c r="AN81" s="205">
        <f t="shared" si="16"/>
        <v>954</v>
      </c>
      <c r="AO81" s="205">
        <f t="shared" si="16"/>
        <v>1152</v>
      </c>
      <c r="AP81" s="205">
        <f t="shared" si="16"/>
        <v>1242</v>
      </c>
      <c r="AQ81" s="205">
        <f t="shared" si="16"/>
        <v>1656</v>
      </c>
      <c r="AR81" s="205">
        <f t="shared" si="16"/>
        <v>2378</v>
      </c>
      <c r="AS81" s="205">
        <f t="shared" si="16"/>
        <v>2250</v>
      </c>
      <c r="AT81" s="205">
        <f t="shared" si="16"/>
        <v>3407.9999999999995</v>
      </c>
      <c r="AU81" s="205">
        <f t="shared" si="16"/>
        <v>3802</v>
      </c>
      <c r="AV81" s="205">
        <f t="shared" si="16"/>
        <v>4284</v>
      </c>
      <c r="AW81" s="205">
        <f t="shared" si="16"/>
        <v>5191.9999999999991</v>
      </c>
      <c r="AX81" s="205">
        <f t="shared" si="16"/>
        <v>4392</v>
      </c>
      <c r="AY81" s="205">
        <f t="shared" si="16"/>
        <v>3582.0000000000005</v>
      </c>
      <c r="AZ81" s="205">
        <f t="shared" si="16"/>
        <v>3284</v>
      </c>
      <c r="BA81" s="205">
        <f t="shared" si="16"/>
        <v>5094</v>
      </c>
      <c r="BB81" s="205">
        <f t="shared" si="16"/>
        <v>4549.9999999999991</v>
      </c>
      <c r="BC81" s="205">
        <f t="shared" si="16"/>
        <v>7446.0000000000018</v>
      </c>
      <c r="BD81" s="205">
        <f t="shared" si="16"/>
        <v>6120</v>
      </c>
      <c r="BE81" s="205">
        <f t="shared" si="16"/>
        <v>9520</v>
      </c>
      <c r="BF81" s="205">
        <f t="shared" si="16"/>
        <v>10055</v>
      </c>
      <c r="BG81" s="205">
        <f t="shared" si="16"/>
        <v>14359</v>
      </c>
      <c r="BH81" s="205">
        <f t="shared" si="16"/>
        <v>13046.000000000002</v>
      </c>
      <c r="BI81" s="205">
        <f t="shared" si="16"/>
        <v>16639</v>
      </c>
      <c r="BJ81" s="205">
        <f t="shared" ref="BJ81:BZ81" si="17">BJ69</f>
        <v>22460</v>
      </c>
      <c r="BK81" s="205">
        <f t="shared" si="17"/>
        <v>25321</v>
      </c>
      <c r="BL81" s="205">
        <f t="shared" si="17"/>
        <v>29280</v>
      </c>
      <c r="BM81" s="205">
        <f t="shared" si="17"/>
        <v>29819</v>
      </c>
      <c r="BN81" s="205">
        <f t="shared" si="17"/>
        <v>34787</v>
      </c>
      <c r="BO81" s="205">
        <f t="shared" si="17"/>
        <v>35988</v>
      </c>
      <c r="BP81" s="205">
        <f t="shared" si="17"/>
        <v>21018</v>
      </c>
      <c r="BQ81" s="205">
        <f t="shared" si="17"/>
        <v>35440</v>
      </c>
      <c r="BR81" s="205">
        <f t="shared" si="17"/>
        <v>26045</v>
      </c>
      <c r="BS81" s="205">
        <f t="shared" si="17"/>
        <v>33854</v>
      </c>
      <c r="BT81" s="205">
        <f t="shared" si="17"/>
        <v>45498</v>
      </c>
      <c r="BU81" s="205">
        <f t="shared" si="17"/>
        <v>44700</v>
      </c>
      <c r="BV81" s="205">
        <f t="shared" si="17"/>
        <v>68000</v>
      </c>
      <c r="BW81" s="205">
        <f t="shared" si="17"/>
        <v>80000</v>
      </c>
      <c r="BX81" s="205">
        <f t="shared" si="17"/>
        <v>132000</v>
      </c>
      <c r="BY81" s="205">
        <f t="shared" si="17"/>
        <v>161000</v>
      </c>
      <c r="BZ81" s="205">
        <f t="shared" si="17"/>
        <v>215000</v>
      </c>
      <c r="CA81" s="205"/>
      <c r="CB81" s="205"/>
      <c r="CC81" s="205"/>
    </row>
    <row r="82" spans="1:83" s="8" customFormat="1" ht="12.75" customHeight="1" x14ac:dyDescent="0.5">
      <c r="A82" s="7" t="s">
        <v>62</v>
      </c>
      <c r="C82" s="42" t="s">
        <v>142</v>
      </c>
      <c r="D82" s="42"/>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c r="BC82" s="46"/>
      <c r="BD82" s="46"/>
      <c r="BE82" s="46"/>
      <c r="BF82" s="46"/>
      <c r="BG82" s="46"/>
      <c r="BH82" s="46"/>
      <c r="BI82" s="46"/>
      <c r="BJ82" s="46"/>
      <c r="BK82" s="46"/>
      <c r="BL82" s="46"/>
      <c r="BM82" s="46"/>
      <c r="BN82" s="46"/>
      <c r="BO82" s="46"/>
      <c r="BP82" s="46"/>
      <c r="BQ82" s="46"/>
      <c r="BR82" s="46"/>
      <c r="BS82" s="46"/>
      <c r="BT82" s="46"/>
      <c r="BU82" s="46"/>
      <c r="BV82" s="46"/>
      <c r="BW82" s="46"/>
      <c r="BX82" s="46"/>
      <c r="BY82" s="46"/>
      <c r="BZ82" s="46"/>
    </row>
    <row r="83" spans="1:83" s="5" customFormat="1" ht="12.75" customHeight="1" x14ac:dyDescent="0.5">
      <c r="A83" s="26" t="s">
        <v>143</v>
      </c>
      <c r="B83" s="4" t="s">
        <v>144</v>
      </c>
      <c r="C83" s="4" t="s">
        <v>145</v>
      </c>
      <c r="D83" s="4"/>
      <c r="E83" s="4"/>
      <c r="F83" s="4"/>
      <c r="G83" s="4"/>
      <c r="H83" s="4"/>
      <c r="I83" s="4"/>
      <c r="J83" s="4"/>
      <c r="K83" s="4"/>
      <c r="L83" s="4"/>
      <c r="M83" s="4"/>
      <c r="N83" s="4"/>
      <c r="O83" s="4"/>
      <c r="P83" s="4"/>
      <c r="Q83" s="4"/>
      <c r="R83" s="4"/>
      <c r="S83" s="4"/>
      <c r="T83" s="4"/>
      <c r="U83" s="38"/>
      <c r="V83" s="39">
        <v>3950</v>
      </c>
      <c r="W83" s="39">
        <v>4512.5</v>
      </c>
      <c r="X83" s="39">
        <v>4830</v>
      </c>
      <c r="Y83" s="39">
        <v>5147.5</v>
      </c>
      <c r="Z83" s="39">
        <v>5202.5</v>
      </c>
      <c r="AA83" s="39">
        <v>5370</v>
      </c>
      <c r="AB83" s="38">
        <v>5651.8984</v>
      </c>
      <c r="AC83" s="38">
        <v>5663.9984999999997</v>
      </c>
      <c r="AD83" s="38">
        <v>6200.7982000000002</v>
      </c>
      <c r="AE83" s="38">
        <v>6618.4979999999996</v>
      </c>
      <c r="AF83" s="38">
        <v>7133.9980999999998</v>
      </c>
      <c r="AG83" s="38">
        <v>7127.9979999999996</v>
      </c>
      <c r="AH83" s="38">
        <v>8318.0010000000002</v>
      </c>
      <c r="AI83" s="38">
        <v>8804</v>
      </c>
      <c r="AJ83" s="38">
        <v>9666.4</v>
      </c>
      <c r="AK83" s="38">
        <v>10417</v>
      </c>
      <c r="AL83" s="38">
        <v>11453.2</v>
      </c>
      <c r="AM83" s="38">
        <v>12702.8</v>
      </c>
      <c r="AN83" s="38">
        <v>15052</v>
      </c>
      <c r="AO83" s="38">
        <v>17566</v>
      </c>
      <c r="AP83" s="38">
        <v>21214</v>
      </c>
      <c r="AQ83" s="38">
        <v>23934</v>
      </c>
      <c r="AR83" s="38">
        <v>29072</v>
      </c>
      <c r="AS83" s="38">
        <v>37198</v>
      </c>
      <c r="AT83" s="38">
        <v>40994.6</v>
      </c>
      <c r="AU83" s="38">
        <v>46604</v>
      </c>
      <c r="AV83" s="38">
        <v>53910.002</v>
      </c>
      <c r="AW83" s="38">
        <v>62016</v>
      </c>
      <c r="AX83" s="38">
        <v>70247.8</v>
      </c>
      <c r="AY83" s="38">
        <v>79592.2</v>
      </c>
      <c r="AZ83" s="38">
        <v>89242.6</v>
      </c>
      <c r="BA83" s="38">
        <v>100811.6</v>
      </c>
      <c r="BB83" s="38">
        <v>117460.2</v>
      </c>
      <c r="BC83" s="38">
        <v>131155.79999999999</v>
      </c>
      <c r="BD83" s="38">
        <v>148283.78</v>
      </c>
      <c r="BE83" s="38">
        <v>170404.1</v>
      </c>
      <c r="BF83" s="38">
        <v>196433.61</v>
      </c>
      <c r="BG83" s="38">
        <v>224230.0693</v>
      </c>
      <c r="BH83" s="38">
        <v>264471.87270000001</v>
      </c>
      <c r="BI83" s="38">
        <v>333611.29239999998</v>
      </c>
      <c r="BJ83" s="38">
        <v>400657.83720000001</v>
      </c>
      <c r="BK83" s="38">
        <v>465250.74</v>
      </c>
      <c r="BL83" s="38">
        <v>687998</v>
      </c>
      <c r="BM83" s="38">
        <v>770313</v>
      </c>
      <c r="BN83" s="38">
        <v>850808.2</v>
      </c>
      <c r="BO83" s="38">
        <v>906927.63</v>
      </c>
      <c r="BP83" s="38">
        <v>967836.93</v>
      </c>
      <c r="BQ83" s="38">
        <v>1020221</v>
      </c>
      <c r="BR83" s="38">
        <v>1035373</v>
      </c>
      <c r="BS83" s="38">
        <v>1131782</v>
      </c>
      <c r="BT83" s="38">
        <v>1274329</v>
      </c>
      <c r="BU83" s="38">
        <v>1415725</v>
      </c>
      <c r="BV83" s="38">
        <v>1862041.0000000002</v>
      </c>
      <c r="BW83" s="38">
        <v>2151349</v>
      </c>
      <c r="BX83" s="38">
        <v>2483058</v>
      </c>
      <c r="BY83" s="38">
        <v>2863687.9999999995</v>
      </c>
      <c r="BZ83" s="38">
        <v>3169301</v>
      </c>
      <c r="CA83" s="38">
        <v>3725918</v>
      </c>
      <c r="CB83" s="38">
        <v>4261151</v>
      </c>
      <c r="CC83" s="38">
        <v>4730801</v>
      </c>
      <c r="CD83" s="38">
        <v>5357672</v>
      </c>
      <c r="CE83" s="157"/>
    </row>
    <row r="84" spans="1:83" s="4" customFormat="1" ht="12.75" customHeight="1" x14ac:dyDescent="0.5">
      <c r="A84" s="26" t="s">
        <v>143</v>
      </c>
      <c r="B84" s="4" t="s">
        <v>119</v>
      </c>
      <c r="C84" s="4" t="s">
        <v>146</v>
      </c>
      <c r="U84" s="38"/>
      <c r="V84" s="38">
        <v>3160</v>
      </c>
      <c r="W84" s="38">
        <v>3610</v>
      </c>
      <c r="X84" s="38">
        <v>3864</v>
      </c>
      <c r="Y84" s="38">
        <v>4118</v>
      </c>
      <c r="Z84" s="38">
        <v>4162</v>
      </c>
      <c r="AA84" s="38">
        <v>4296</v>
      </c>
      <c r="AB84" s="38">
        <v>4510</v>
      </c>
      <c r="AC84" s="38">
        <v>4494</v>
      </c>
      <c r="AD84" s="38">
        <v>4882</v>
      </c>
      <c r="AE84" s="38">
        <v>5200</v>
      </c>
      <c r="AF84" s="38">
        <v>5620</v>
      </c>
      <c r="AG84" s="38">
        <v>5760</v>
      </c>
      <c r="AH84" s="38">
        <v>6360</v>
      </c>
      <c r="AI84" s="38"/>
      <c r="AJ84" s="38"/>
      <c r="AK84" s="38"/>
      <c r="AL84" s="38"/>
      <c r="AM84" s="38"/>
      <c r="AN84" s="38"/>
      <c r="AO84" s="38"/>
      <c r="AP84" s="38"/>
      <c r="AQ84" s="38"/>
      <c r="AR84" s="38"/>
      <c r="AS84" s="38"/>
      <c r="AT84" s="38"/>
      <c r="AU84" s="38"/>
      <c r="AV84" s="38"/>
      <c r="AW84" s="38"/>
      <c r="AX84" s="38"/>
      <c r="AY84" s="38"/>
      <c r="AZ84" s="38"/>
      <c r="BA84" s="38"/>
      <c r="BB84" s="38"/>
      <c r="BC84" s="38"/>
      <c r="BD84" s="38"/>
      <c r="BE84" s="38"/>
      <c r="BF84" s="38"/>
      <c r="BG84" s="38"/>
      <c r="BH84" s="38"/>
      <c r="BI84" s="38"/>
      <c r="BJ84" s="38"/>
      <c r="BK84" s="38"/>
      <c r="BL84" s="38"/>
      <c r="BM84" s="38"/>
      <c r="BN84" s="38"/>
      <c r="BO84" s="38"/>
      <c r="BP84" s="38"/>
      <c r="BQ84" s="38"/>
      <c r="BR84" s="38"/>
      <c r="BS84" s="38"/>
      <c r="BT84" s="38"/>
      <c r="BU84" s="38"/>
      <c r="BV84" s="38"/>
      <c r="BW84" s="38"/>
      <c r="BX84" s="38"/>
      <c r="BY84" s="38"/>
      <c r="BZ84" s="38"/>
      <c r="CA84" s="38"/>
      <c r="CB84" s="38"/>
      <c r="CC84" s="38"/>
      <c r="CD84" s="38"/>
      <c r="CE84" s="38"/>
    </row>
    <row r="85" spans="1:83" s="4" customFormat="1" ht="12.75" customHeight="1" x14ac:dyDescent="0.5">
      <c r="A85" s="26" t="s">
        <v>143</v>
      </c>
      <c r="B85" s="4" t="s">
        <v>119</v>
      </c>
      <c r="C85" s="4" t="s">
        <v>147</v>
      </c>
      <c r="U85" s="38"/>
      <c r="V85" s="38"/>
      <c r="W85" s="38"/>
      <c r="X85" s="38"/>
      <c r="Y85" s="38"/>
      <c r="Z85" s="38"/>
      <c r="AA85" s="38"/>
      <c r="AB85" s="38"/>
      <c r="AC85" s="38"/>
      <c r="AD85" s="38"/>
      <c r="AE85" s="38">
        <v>6580</v>
      </c>
      <c r="AF85" s="38">
        <v>7040</v>
      </c>
      <c r="AG85" s="38">
        <v>7220</v>
      </c>
      <c r="AH85" s="38">
        <v>7960</v>
      </c>
      <c r="AI85" s="38"/>
      <c r="AJ85" s="38"/>
      <c r="AK85" s="38"/>
      <c r="AL85" s="38"/>
      <c r="AM85" s="38"/>
      <c r="AN85" s="38"/>
      <c r="AO85" s="38"/>
      <c r="AP85" s="38"/>
      <c r="AQ85" s="38"/>
      <c r="AR85" s="38"/>
      <c r="AS85" s="38"/>
      <c r="AT85" s="38"/>
      <c r="AU85" s="38"/>
      <c r="AV85" s="38"/>
      <c r="AW85" s="38"/>
      <c r="AX85" s="38"/>
      <c r="AY85" s="38"/>
      <c r="AZ85" s="38"/>
      <c r="BA85" s="38"/>
      <c r="BB85" s="38"/>
      <c r="BC85" s="38"/>
      <c r="BD85" s="38"/>
      <c r="BE85" s="38"/>
      <c r="BF85" s="38"/>
      <c r="BG85" s="38"/>
      <c r="BH85" s="38"/>
      <c r="BI85" s="38"/>
      <c r="BJ85" s="38"/>
      <c r="BK85" s="38"/>
      <c r="BL85" s="38"/>
      <c r="BM85" s="38"/>
      <c r="BN85" s="38"/>
      <c r="BO85" s="38"/>
      <c r="BP85" s="38"/>
      <c r="BQ85" s="38"/>
      <c r="BR85" s="38"/>
      <c r="BS85" s="38"/>
      <c r="BT85" s="38"/>
      <c r="BU85" s="38"/>
      <c r="BV85" s="38"/>
      <c r="BW85" s="38"/>
      <c r="BX85" s="38"/>
      <c r="BY85" s="38"/>
      <c r="BZ85" s="38"/>
      <c r="CA85" s="38"/>
      <c r="CB85" s="38"/>
      <c r="CC85" s="38"/>
      <c r="CD85" s="38"/>
      <c r="CE85" s="38"/>
    </row>
    <row r="86" spans="1:83" ht="12.75" customHeight="1" x14ac:dyDescent="0.5">
      <c r="U86" s="56"/>
      <c r="V86" s="56"/>
      <c r="W86" s="56"/>
      <c r="X86" s="56"/>
      <c r="Y86" s="56"/>
      <c r="Z86" s="56"/>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row>
    <row r="87" spans="1:83" s="4" customFormat="1" ht="12.75" customHeight="1" x14ac:dyDescent="0.5">
      <c r="B87" s="4" t="s">
        <v>103</v>
      </c>
      <c r="C87" s="4" t="s">
        <v>148</v>
      </c>
      <c r="U87" s="38"/>
      <c r="V87" s="38"/>
      <c r="W87" s="38"/>
      <c r="X87" s="38"/>
      <c r="Y87" s="38"/>
      <c r="Z87" s="38"/>
      <c r="AA87" s="38"/>
      <c r="AB87" s="38"/>
      <c r="AC87" s="38"/>
      <c r="AD87" s="38"/>
      <c r="AE87" s="38"/>
      <c r="AF87" s="38">
        <v>68.90943663133298</v>
      </c>
      <c r="AG87" s="38">
        <v>70.06171859195247</v>
      </c>
      <c r="AH87" s="38">
        <v>66.121667934399142</v>
      </c>
      <c r="AI87" s="38">
        <v>66.606088141753744</v>
      </c>
      <c r="AJ87" s="38">
        <v>64.640403873210289</v>
      </c>
      <c r="AK87" s="38">
        <v>62.75319189785926</v>
      </c>
      <c r="AL87" s="38">
        <v>60.184053364998427</v>
      </c>
      <c r="AM87" s="38">
        <v>64.653477973360211</v>
      </c>
      <c r="AN87" s="38">
        <v>62.189742226946585</v>
      </c>
      <c r="AO87" s="38">
        <v>59.011716383923485</v>
      </c>
      <c r="AP87" s="38">
        <v>64.430083906853966</v>
      </c>
      <c r="AQ87" s="38">
        <v>68.222603409375765</v>
      </c>
      <c r="AR87" s="38">
        <v>61.600846175013757</v>
      </c>
      <c r="AS87" s="38">
        <v>55.705680412925432</v>
      </c>
      <c r="AT87" s="38">
        <v>60.448449307957631</v>
      </c>
      <c r="AU87" s="38">
        <v>68.529310788773486</v>
      </c>
      <c r="AV87" s="38">
        <v>62.072351620391331</v>
      </c>
      <c r="AW87" s="38">
        <v>61.85823013415893</v>
      </c>
      <c r="AX87" s="38">
        <v>64.607557532050834</v>
      </c>
      <c r="AY87" s="38">
        <v>62.916120675141528</v>
      </c>
      <c r="AZ87" s="38">
        <v>68.111246982943129</v>
      </c>
      <c r="BA87" s="38">
        <v>62.06245263441906</v>
      </c>
      <c r="BB87" s="38">
        <v>63.957070905719561</v>
      </c>
      <c r="BC87" s="38">
        <v>62.234136805234684</v>
      </c>
      <c r="BD87" s="38">
        <v>61.377724724848527</v>
      </c>
      <c r="BE87" s="38">
        <v>64.171632959535614</v>
      </c>
      <c r="BF87" s="38">
        <v>62.829177959922447</v>
      </c>
      <c r="BG87" s="38">
        <v>63.772574055927478</v>
      </c>
      <c r="BH87" s="38">
        <v>67.807010049579461</v>
      </c>
      <c r="BI87" s="38">
        <v>62.960820477310662</v>
      </c>
      <c r="BJ87" s="38">
        <v>62.737394270544421</v>
      </c>
      <c r="BK87" s="38">
        <v>69.899657053742686</v>
      </c>
      <c r="BL87" s="38">
        <v>76.726516734060269</v>
      </c>
      <c r="BM87" s="38">
        <v>78.007201825751352</v>
      </c>
      <c r="BN87" s="38">
        <v>75.616042957743019</v>
      </c>
      <c r="BO87" s="38">
        <v>75.252093069432675</v>
      </c>
      <c r="BP87" s="38">
        <v>77.665519231633368</v>
      </c>
      <c r="BQ87" s="38">
        <v>75.320431024258468</v>
      </c>
      <c r="BR87" s="38">
        <v>73.160511236047299</v>
      </c>
      <c r="BS87" s="38">
        <v>71.345167320208319</v>
      </c>
      <c r="BT87" s="38">
        <v>71.433924677222308</v>
      </c>
      <c r="BU87" s="38">
        <v>72.430909392714</v>
      </c>
      <c r="BV87" s="38">
        <v>76.286021628954472</v>
      </c>
      <c r="BW87" s="38">
        <v>74.970216361919896</v>
      </c>
      <c r="BX87" s="38">
        <v>76.943792694330938</v>
      </c>
      <c r="BY87" s="38">
        <v>76.251288548193799</v>
      </c>
      <c r="BZ87" s="38">
        <v>78.014899815448274</v>
      </c>
      <c r="CA87" s="38">
        <v>81.482335360037467</v>
      </c>
      <c r="CB87" s="38">
        <v>80.058815094794809</v>
      </c>
      <c r="CC87" s="38">
        <v>80.481784720022745</v>
      </c>
      <c r="CD87" s="38">
        <v>80.590679545462962</v>
      </c>
      <c r="CE87" s="38">
        <v>77.571461460591422</v>
      </c>
    </row>
    <row r="88" spans="1:83" ht="12.75" customHeight="1" x14ac:dyDescent="0.5">
      <c r="A88" s="26" t="s">
        <v>143</v>
      </c>
      <c r="B88" s="4" t="s">
        <v>103</v>
      </c>
      <c r="C88" s="4" t="s">
        <v>149</v>
      </c>
      <c r="U88" s="56"/>
      <c r="V88" s="56"/>
      <c r="W88" s="56"/>
      <c r="X88" s="56"/>
      <c r="Y88" s="56"/>
      <c r="Z88" s="56"/>
      <c r="AA88" s="56"/>
      <c r="AB88" s="56"/>
      <c r="AC88" s="56"/>
      <c r="AD88" s="56"/>
      <c r="AE88" s="56"/>
      <c r="AF88" s="56">
        <f t="shared" ref="AF88:CD88" si="18">AF83*AF87%</f>
        <v>4915.9978999999985</v>
      </c>
      <c r="AG88" s="56">
        <f t="shared" si="18"/>
        <v>4993.9979000000003</v>
      </c>
      <c r="AH88" s="56">
        <f t="shared" si="18"/>
        <v>5500.0010000000002</v>
      </c>
      <c r="AI88" s="56">
        <f t="shared" si="18"/>
        <v>5864</v>
      </c>
      <c r="AJ88" s="56">
        <f t="shared" si="18"/>
        <v>6248.3999999999987</v>
      </c>
      <c r="AK88" s="56">
        <f t="shared" si="18"/>
        <v>6536.9999999999991</v>
      </c>
      <c r="AL88" s="56">
        <f t="shared" si="18"/>
        <v>6893</v>
      </c>
      <c r="AM88" s="56">
        <f t="shared" si="18"/>
        <v>8212.8019999999997</v>
      </c>
      <c r="AN88" s="56">
        <f t="shared" si="18"/>
        <v>9360.8000000000011</v>
      </c>
      <c r="AO88" s="56">
        <f t="shared" si="18"/>
        <v>10365.998099999999</v>
      </c>
      <c r="AP88" s="56">
        <f t="shared" si="18"/>
        <v>13668.198</v>
      </c>
      <c r="AQ88" s="56">
        <f t="shared" si="18"/>
        <v>16328.397899999994</v>
      </c>
      <c r="AR88" s="56">
        <f t="shared" si="18"/>
        <v>17908.597999999998</v>
      </c>
      <c r="AS88" s="56">
        <f t="shared" si="18"/>
        <v>20721.399000000001</v>
      </c>
      <c r="AT88" s="56">
        <f t="shared" si="18"/>
        <v>24780.6</v>
      </c>
      <c r="AU88" s="56">
        <f t="shared" si="18"/>
        <v>31937.399999999998</v>
      </c>
      <c r="AV88" s="56">
        <f t="shared" si="18"/>
        <v>33463.205999999998</v>
      </c>
      <c r="AW88" s="56">
        <f t="shared" si="18"/>
        <v>38362</v>
      </c>
      <c r="AX88" s="56">
        <f t="shared" si="18"/>
        <v>45385.387800000004</v>
      </c>
      <c r="AY88" s="56">
        <f t="shared" si="18"/>
        <v>50076.324599999993</v>
      </c>
      <c r="AZ88" s="56">
        <f t="shared" si="18"/>
        <v>60784.247700000007</v>
      </c>
      <c r="BA88" s="56">
        <f t="shared" si="18"/>
        <v>62566.151500000014</v>
      </c>
      <c r="BB88" s="56">
        <f t="shared" si="18"/>
        <v>75124.103400000007</v>
      </c>
      <c r="BC88" s="56">
        <f t="shared" si="18"/>
        <v>81623.679999999993</v>
      </c>
      <c r="BD88" s="56">
        <f t="shared" si="18"/>
        <v>91013.210299999992</v>
      </c>
      <c r="BE88" s="56">
        <f t="shared" si="18"/>
        <v>109351.09360000004</v>
      </c>
      <c r="BF88" s="56">
        <f t="shared" si="18"/>
        <v>123417.62240000001</v>
      </c>
      <c r="BG88" s="56">
        <f t="shared" si="18"/>
        <v>142997.28700000001</v>
      </c>
      <c r="BH88" s="56">
        <f t="shared" si="18"/>
        <v>179330.4693</v>
      </c>
      <c r="BI88" s="56">
        <f t="shared" si="18"/>
        <v>210044.40689999994</v>
      </c>
      <c r="BJ88" s="56">
        <f t="shared" si="18"/>
        <v>251362.28700000001</v>
      </c>
      <c r="BK88" s="56">
        <f t="shared" si="18"/>
        <v>325208.67170000001</v>
      </c>
      <c r="BL88" s="56">
        <f t="shared" si="18"/>
        <v>527876.90059999994</v>
      </c>
      <c r="BM88" s="56">
        <f t="shared" si="18"/>
        <v>600899.61659999995</v>
      </c>
      <c r="BN88" s="56">
        <f t="shared" si="18"/>
        <v>643347.49400000018</v>
      </c>
      <c r="BO88" s="56">
        <f t="shared" si="18"/>
        <v>682482.0242000001</v>
      </c>
      <c r="BP88" s="56">
        <f t="shared" si="18"/>
        <v>751675.57700000005</v>
      </c>
      <c r="BQ88" s="56">
        <f t="shared" si="18"/>
        <v>768434.85460000008</v>
      </c>
      <c r="BR88" s="56">
        <f t="shared" si="18"/>
        <v>757484.18</v>
      </c>
      <c r="BS88" s="56">
        <f t="shared" si="18"/>
        <v>807471.76160000009</v>
      </c>
      <c r="BT88" s="56">
        <f t="shared" si="18"/>
        <v>910303.21800000023</v>
      </c>
      <c r="BU88" s="56">
        <f t="shared" si="18"/>
        <v>1025422.4920000003</v>
      </c>
      <c r="BV88" s="56">
        <f t="shared" si="18"/>
        <v>1420477.0000000002</v>
      </c>
      <c r="BW88" s="56">
        <f t="shared" si="18"/>
        <v>1612871</v>
      </c>
      <c r="BX88" s="56">
        <f t="shared" si="18"/>
        <v>1910558.9999999998</v>
      </c>
      <c r="BY88" s="56">
        <f t="shared" si="18"/>
        <v>2183598.9999999995</v>
      </c>
      <c r="BZ88" s="56">
        <f t="shared" si="18"/>
        <v>2472527</v>
      </c>
      <c r="CA88" s="56">
        <f t="shared" si="18"/>
        <v>3035965.0000000009</v>
      </c>
      <c r="CB88" s="56">
        <f t="shared" si="18"/>
        <v>3411427</v>
      </c>
      <c r="CC88" s="56">
        <f t="shared" si="18"/>
        <v>3807433.0763526829</v>
      </c>
      <c r="CD88" s="56">
        <f t="shared" si="18"/>
        <v>4317784.2726169964</v>
      </c>
      <c r="CE88" s="56"/>
    </row>
    <row r="89" spans="1:83" ht="12.75" customHeight="1" x14ac:dyDescent="0.5">
      <c r="U89" s="56"/>
      <c r="V89" s="56"/>
      <c r="W89" s="56"/>
      <c r="X89" s="56"/>
      <c r="Y89" s="56"/>
      <c r="Z89" s="56"/>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c r="BQ89" s="56"/>
      <c r="BR89" s="56"/>
      <c r="BS89" s="56"/>
      <c r="BT89" s="56"/>
      <c r="BU89" s="56"/>
      <c r="BV89" s="56"/>
      <c r="BW89" s="56"/>
      <c r="BX89" s="56"/>
      <c r="BY89" s="56"/>
      <c r="BZ89" s="56"/>
      <c r="CA89" s="56"/>
      <c r="CB89" s="56"/>
      <c r="CC89" s="56"/>
      <c r="CD89" s="56"/>
      <c r="CE89" s="56"/>
    </row>
    <row r="90" spans="1:83" s="4" customFormat="1" ht="12.75" customHeight="1" x14ac:dyDescent="0.5">
      <c r="A90" s="4" t="s">
        <v>150</v>
      </c>
      <c r="B90" s="4" t="s">
        <v>151</v>
      </c>
      <c r="C90" s="57" t="s">
        <v>152</v>
      </c>
      <c r="R90" s="58"/>
      <c r="S90" s="58"/>
      <c r="U90" s="38"/>
      <c r="V90" s="38"/>
      <c r="W90" s="38"/>
      <c r="X90" s="38"/>
      <c r="Y90" s="38"/>
      <c r="Z90" s="38"/>
      <c r="AA90" s="38"/>
      <c r="AB90" s="164">
        <v>38.200000000000003</v>
      </c>
      <c r="AC90" s="164">
        <v>36.799999999999997</v>
      </c>
      <c r="AD90" s="164">
        <v>40.6</v>
      </c>
      <c r="AE90" s="164">
        <v>41.5</v>
      </c>
      <c r="AF90" s="164">
        <v>39.799999999999997</v>
      </c>
      <c r="AG90" s="164">
        <v>35.299999999999997</v>
      </c>
      <c r="AH90" s="164">
        <v>37.9</v>
      </c>
      <c r="AI90" s="164">
        <v>36.5</v>
      </c>
      <c r="AJ90" s="164">
        <v>34.6</v>
      </c>
      <c r="AK90" s="164">
        <v>33.799999999999997</v>
      </c>
      <c r="AL90" s="164">
        <v>33.299999999999997</v>
      </c>
      <c r="AM90" s="164">
        <v>31.4</v>
      </c>
      <c r="AN90" s="164">
        <v>35.200000000000003</v>
      </c>
      <c r="AO90" s="164">
        <v>35.5</v>
      </c>
      <c r="AP90" s="164">
        <v>35.4</v>
      </c>
      <c r="AQ90" s="164">
        <v>34.200000000000003</v>
      </c>
      <c r="AR90" s="164">
        <v>37.9</v>
      </c>
      <c r="AS90" s="164">
        <v>42</v>
      </c>
      <c r="AT90" s="164">
        <v>36.9</v>
      </c>
      <c r="AU90" s="164">
        <v>34.6</v>
      </c>
      <c r="AV90" s="164">
        <v>32.6</v>
      </c>
      <c r="AW90" s="164">
        <v>32.5</v>
      </c>
      <c r="AX90" s="164">
        <v>33.4</v>
      </c>
      <c r="AY90" s="164">
        <v>34.200000000000003</v>
      </c>
      <c r="AZ90" s="164">
        <v>34</v>
      </c>
      <c r="BA90" s="164">
        <v>32.6</v>
      </c>
      <c r="BB90" s="164">
        <v>33</v>
      </c>
      <c r="BC90" s="164">
        <v>31.5</v>
      </c>
      <c r="BD90" s="164">
        <v>29.9</v>
      </c>
      <c r="BE90" s="164">
        <v>30.2</v>
      </c>
      <c r="BF90" s="164">
        <v>29.5</v>
      </c>
      <c r="BG90" s="164">
        <v>28.1</v>
      </c>
      <c r="BH90" s="164">
        <v>28.7</v>
      </c>
      <c r="BI90" s="164">
        <v>31.5</v>
      </c>
      <c r="BJ90" s="164">
        <v>33.299999999999997</v>
      </c>
      <c r="BK90" s="164">
        <v>31.1</v>
      </c>
      <c r="BL90" s="164">
        <v>30.7</v>
      </c>
      <c r="BM90" s="164">
        <v>30.9</v>
      </c>
      <c r="BN90" s="164">
        <v>31.2</v>
      </c>
      <c r="BO90" s="164">
        <v>32.4</v>
      </c>
      <c r="BP90" s="164">
        <v>32.4</v>
      </c>
      <c r="BQ90" s="164">
        <v>31.3</v>
      </c>
      <c r="BR90" s="164">
        <v>29.1</v>
      </c>
      <c r="BS90" s="164">
        <v>29</v>
      </c>
      <c r="BT90" s="164">
        <v>28</v>
      </c>
      <c r="BU90" s="164">
        <v>27.2</v>
      </c>
      <c r="BV90" s="164">
        <v>23.2</v>
      </c>
      <c r="BW90" s="164">
        <v>23.3</v>
      </c>
      <c r="BX90" s="164">
        <v>24.9</v>
      </c>
      <c r="BY90" s="164">
        <v>26.1</v>
      </c>
      <c r="BZ90" s="164">
        <v>27.8</v>
      </c>
      <c r="CA90" s="164">
        <v>29.3</v>
      </c>
      <c r="CB90" s="164">
        <v>29.1</v>
      </c>
      <c r="CC90" s="164">
        <v>29.5</v>
      </c>
      <c r="CD90" s="164">
        <v>30.2</v>
      </c>
      <c r="CE90" s="164">
        <v>32.9</v>
      </c>
    </row>
    <row r="91" spans="1:83" s="4" customFormat="1" ht="12.75" customHeight="1" x14ac:dyDescent="0.5">
      <c r="B91" s="30" t="s">
        <v>153</v>
      </c>
      <c r="C91" s="30" t="s">
        <v>154</v>
      </c>
      <c r="R91" s="58"/>
      <c r="S91" s="58"/>
      <c r="U91" s="38"/>
      <c r="V91" s="38"/>
      <c r="W91" s="38"/>
      <c r="X91" s="38"/>
      <c r="Y91" s="38"/>
      <c r="Z91" s="38"/>
      <c r="AA91" s="38"/>
      <c r="AB91" s="59">
        <v>2987700</v>
      </c>
      <c r="AC91" s="165">
        <v>3077550.7588397656</v>
      </c>
      <c r="AD91" s="165">
        <v>3171369.2018986605</v>
      </c>
      <c r="AE91" s="165">
        <v>3269281.172911597</v>
      </c>
      <c r="AF91" s="59">
        <v>3371400</v>
      </c>
      <c r="AG91" s="165">
        <v>3487264.8180585522</v>
      </c>
      <c r="AH91" s="165">
        <v>3608278.9815871441</v>
      </c>
      <c r="AI91" s="59">
        <v>3734800</v>
      </c>
      <c r="AJ91" s="165">
        <v>3877962.9516170663</v>
      </c>
      <c r="AK91" s="59">
        <v>4028700</v>
      </c>
      <c r="AL91" s="165">
        <v>4148322.0828161533</v>
      </c>
      <c r="AM91" s="59">
        <v>4273800</v>
      </c>
      <c r="AN91" s="165">
        <v>4388273.6128827482</v>
      </c>
      <c r="AO91" s="165">
        <v>4507761.3690538527</v>
      </c>
      <c r="AP91" s="59">
        <v>4632100</v>
      </c>
      <c r="AQ91" s="165">
        <v>4796393.2282649036</v>
      </c>
      <c r="AR91" s="59">
        <v>4967400</v>
      </c>
      <c r="AS91" s="165">
        <v>5016204.1951150484</v>
      </c>
      <c r="AT91" s="165">
        <v>5066507.7892563809</v>
      </c>
      <c r="AU91" s="165">
        <v>5118703.7885901006</v>
      </c>
      <c r="AV91" s="165">
        <v>5172831.7952860845</v>
      </c>
      <c r="AW91" s="165">
        <v>5228551.9724927638</v>
      </c>
      <c r="AX91" s="165">
        <v>5285073.9896470588</v>
      </c>
      <c r="AY91" s="165">
        <v>5341414.1028389344</v>
      </c>
      <c r="AZ91" s="165">
        <v>5396435.1769927694</v>
      </c>
      <c r="BA91" s="165">
        <v>5449219.9332179753</v>
      </c>
      <c r="BB91" s="165">
        <v>5499197.0852603791</v>
      </c>
      <c r="BC91" s="165">
        <v>5546033.2789676022</v>
      </c>
      <c r="BD91" s="165">
        <v>5589364.8354852097</v>
      </c>
      <c r="BE91" s="164">
        <v>5628900</v>
      </c>
      <c r="BF91" s="165">
        <v>5798789.3050320987</v>
      </c>
      <c r="BG91" s="165">
        <v>5969659.3131709555</v>
      </c>
      <c r="BH91" s="165">
        <v>6140984.8030548114</v>
      </c>
      <c r="BI91" s="165">
        <v>6310676.0846550288</v>
      </c>
      <c r="BJ91" s="165">
        <v>6476080.5291354861</v>
      </c>
      <c r="BK91" s="165">
        <v>6635597.9756694753</v>
      </c>
      <c r="BL91" s="165">
        <v>6788434.3485229984</v>
      </c>
      <c r="BM91" s="165">
        <v>6935907.4505801639</v>
      </c>
      <c r="BN91" s="165">
        <v>7081169.6338076442</v>
      </c>
      <c r="BO91" s="165">
        <v>7228559.225883767</v>
      </c>
      <c r="BP91" s="165">
        <v>7381297.6962961024</v>
      </c>
      <c r="BQ91" s="165">
        <v>7540479.0380449276</v>
      </c>
      <c r="BR91" s="165">
        <v>7705631.5461690631</v>
      </c>
      <c r="BS91" s="165">
        <v>7876477.9801648175</v>
      </c>
      <c r="BT91" s="165">
        <v>8052212.7435694197</v>
      </c>
      <c r="BU91" s="165">
        <v>8232283.3475982854</v>
      </c>
      <c r="BV91" s="165">
        <v>8416674.2541826218</v>
      </c>
      <c r="BW91" s="165">
        <v>8605822.2891233563</v>
      </c>
      <c r="BX91" s="165">
        <v>8800081.3494304363</v>
      </c>
      <c r="BY91" s="59">
        <v>8999900</v>
      </c>
      <c r="BZ91" s="164"/>
      <c r="CA91" s="164"/>
      <c r="CB91" s="164"/>
      <c r="CC91" s="164"/>
      <c r="CD91" s="164"/>
      <c r="CE91" s="164"/>
    </row>
    <row r="92" spans="1:83" s="4" customFormat="1" ht="12.75" customHeight="1" x14ac:dyDescent="0.5">
      <c r="A92" s="4" t="s">
        <v>155</v>
      </c>
      <c r="B92" s="30"/>
      <c r="C92" s="30" t="s">
        <v>156</v>
      </c>
      <c r="R92" s="58"/>
      <c r="S92" s="58"/>
      <c r="U92" s="38"/>
      <c r="V92" s="38"/>
      <c r="W92" s="38"/>
      <c r="X92" s="38"/>
      <c r="Y92" s="38"/>
      <c r="Z92" s="38"/>
      <c r="AA92" s="38"/>
      <c r="AB92" s="59">
        <v>722.63787823409314</v>
      </c>
      <c r="AC92" s="59">
        <v>677.27605857126434</v>
      </c>
      <c r="AD92" s="59">
        <v>793.82875626489306</v>
      </c>
      <c r="AE92" s="59">
        <v>840.14696954126794</v>
      </c>
      <c r="AF92" s="59">
        <v>842.18165859880162</v>
      </c>
      <c r="AG92" s="59">
        <v>721.53490637422317</v>
      </c>
      <c r="AH92" s="59">
        <v>873.69141773326123</v>
      </c>
      <c r="AI92" s="59">
        <v>860.41019599443075</v>
      </c>
      <c r="AJ92" s="59">
        <v>862.45651176356671</v>
      </c>
      <c r="AK92" s="59">
        <v>873.96579541787662</v>
      </c>
      <c r="AL92" s="59">
        <v>919.38753159949044</v>
      </c>
      <c r="AM92" s="59">
        <v>933.28634938462244</v>
      </c>
      <c r="AN92" s="59">
        <v>1207.377767978199</v>
      </c>
      <c r="AO92" s="59">
        <v>1383.376245870104</v>
      </c>
      <c r="AP92" s="59">
        <v>1621.2422011614601</v>
      </c>
      <c r="AQ92" s="59">
        <v>1706.5798424874104</v>
      </c>
      <c r="AR92" s="59">
        <v>2218.1197407094255</v>
      </c>
      <c r="AS92" s="59">
        <v>3114.5382827944622</v>
      </c>
      <c r="AT92" s="59">
        <v>2985.6871891279993</v>
      </c>
      <c r="AU92" s="59">
        <v>3150.2084640927187</v>
      </c>
      <c r="AV92" s="59">
        <v>3397.4931618722844</v>
      </c>
      <c r="AW92" s="59">
        <v>3854.8340163846187</v>
      </c>
      <c r="AX92" s="59">
        <v>4439.4393050998433</v>
      </c>
      <c r="AY92" s="59">
        <v>5096.128455109374</v>
      </c>
      <c r="AZ92" s="59">
        <v>5622.6903510974316</v>
      </c>
      <c r="BA92" s="59">
        <v>6031.0616937408504</v>
      </c>
      <c r="BB92" s="59">
        <v>7048.6409923176416</v>
      </c>
      <c r="BC92" s="59">
        <v>7449.3020365883276</v>
      </c>
      <c r="BD92" s="59">
        <v>7932.3593154124719</v>
      </c>
      <c r="BE92" s="59">
        <v>9142.4680132885642</v>
      </c>
      <c r="BF92" s="59">
        <v>9993.1057849806166</v>
      </c>
      <c r="BG92" s="59">
        <v>10554.814968131099</v>
      </c>
      <c r="BH92" s="59">
        <v>12360.139277195753</v>
      </c>
      <c r="BI92" s="59">
        <v>16652.345279062851</v>
      </c>
      <c r="BJ92" s="59">
        <v>20601.822226786073</v>
      </c>
      <c r="BK92" s="59">
        <v>21805.567587207799</v>
      </c>
      <c r="BL92" s="59">
        <v>31114.005845244043</v>
      </c>
      <c r="BM92" s="59">
        <v>34318.035339426264</v>
      </c>
      <c r="BN92" s="59">
        <v>37487.049756956978</v>
      </c>
      <c r="BO92" s="59">
        <v>40650.500734338857</v>
      </c>
      <c r="BP92" s="59">
        <v>42482.931622897748</v>
      </c>
      <c r="BQ92" s="59">
        <v>42348.65867126589</v>
      </c>
      <c r="BR92" s="59">
        <v>39100.434687899316</v>
      </c>
      <c r="BS92" s="59">
        <v>41670.500549426026</v>
      </c>
      <c r="BT92" s="59">
        <v>44312.306612235734</v>
      </c>
      <c r="BU92" s="59">
        <v>46776.475461372909</v>
      </c>
      <c r="BV92" s="59">
        <v>51325.915552134284</v>
      </c>
      <c r="BW92" s="59">
        <v>58247.114588170516</v>
      </c>
      <c r="BX92" s="59">
        <v>70258.605284372374</v>
      </c>
      <c r="BY92" s="59">
        <v>83047.874754163917</v>
      </c>
      <c r="BZ92" s="164"/>
      <c r="CA92" s="164"/>
      <c r="CB92" s="164"/>
      <c r="CC92" s="164"/>
      <c r="CD92" s="164"/>
      <c r="CE92" s="164"/>
    </row>
    <row r="93" spans="1:83" s="8" customFormat="1" ht="12.75" customHeight="1" x14ac:dyDescent="0.5">
      <c r="C93" s="42" t="s">
        <v>175</v>
      </c>
      <c r="D93" s="42"/>
    </row>
    <row r="94" spans="1:83" s="4" customFormat="1" ht="12.75" customHeight="1" x14ac:dyDescent="0.5">
      <c r="B94" s="10" t="s">
        <v>119</v>
      </c>
      <c r="C94" s="4" t="s">
        <v>176</v>
      </c>
      <c r="M94" s="62"/>
      <c r="N94" s="62"/>
      <c r="O94" s="62"/>
      <c r="P94" s="62"/>
      <c r="Q94" s="62"/>
      <c r="R94" s="62"/>
      <c r="S94" s="62"/>
      <c r="T94" s="62"/>
      <c r="U94" s="62"/>
      <c r="V94" s="62"/>
      <c r="W94" s="62"/>
      <c r="X94" s="62"/>
      <c r="Y94" s="38">
        <v>21809</v>
      </c>
      <c r="Z94" s="38">
        <v>21394</v>
      </c>
      <c r="AA94" s="38">
        <v>42214</v>
      </c>
      <c r="AB94" s="38">
        <v>72545</v>
      </c>
      <c r="AC94" s="38">
        <v>26577</v>
      </c>
      <c r="AD94" s="38">
        <v>132433</v>
      </c>
      <c r="AE94" s="38">
        <v>54428</v>
      </c>
      <c r="AF94" s="38">
        <v>56011</v>
      </c>
      <c r="AG94" s="38">
        <v>105602</v>
      </c>
      <c r="AH94" s="38">
        <v>42967</v>
      </c>
      <c r="AI94" s="38">
        <v>29985</v>
      </c>
      <c r="AJ94" s="38">
        <v>20426</v>
      </c>
      <c r="AK94" s="38">
        <v>37641</v>
      </c>
      <c r="AL94" s="38">
        <v>18941</v>
      </c>
      <c r="AM94" s="38">
        <v>14398</v>
      </c>
      <c r="AN94" s="38">
        <v>28056</v>
      </c>
      <c r="AO94" s="38">
        <v>14125</v>
      </c>
      <c r="AP94" s="38">
        <v>22144</v>
      </c>
      <c r="AQ94" s="38">
        <v>4148</v>
      </c>
      <c r="AR94" s="38">
        <v>12964</v>
      </c>
      <c r="AS94" s="38">
        <v>7288</v>
      </c>
      <c r="AT94" s="38">
        <v>10380</v>
      </c>
      <c r="AU94" s="38">
        <v>13487</v>
      </c>
      <c r="AV94" s="38">
        <v>18980</v>
      </c>
      <c r="AW94" s="38">
        <v>18117</v>
      </c>
      <c r="AX94" s="38">
        <v>22372</v>
      </c>
      <c r="AY94" s="38">
        <v>12851</v>
      </c>
      <c r="AZ94" s="38">
        <v>7663</v>
      </c>
      <c r="BA94" s="38">
        <v>17207</v>
      </c>
      <c r="BB94" s="38">
        <v>33588</v>
      </c>
      <c r="BC94" s="38">
        <v>27960</v>
      </c>
      <c r="BD94" s="38">
        <v>18631</v>
      </c>
      <c r="BE94" s="38">
        <v>21279</v>
      </c>
      <c r="BF94" s="38">
        <v>7839</v>
      </c>
      <c r="BG94" s="38">
        <v>19620</v>
      </c>
      <c r="BH94" s="38">
        <v>9684</v>
      </c>
      <c r="BI94" s="38">
        <v>20349</v>
      </c>
      <c r="BJ94" s="38">
        <v>18549</v>
      </c>
      <c r="BK94" s="38">
        <v>9407</v>
      </c>
      <c r="BL94" s="38">
        <v>16084</v>
      </c>
      <c r="BM94" s="38">
        <v>270660</v>
      </c>
      <c r="BN94" s="38">
        <v>214867</v>
      </c>
      <c r="BO94" s="38">
        <v>9004</v>
      </c>
      <c r="BP94" s="38">
        <v>17794</v>
      </c>
      <c r="BQ94" s="38">
        <v>4632</v>
      </c>
      <c r="BR94" s="38">
        <v>258788</v>
      </c>
      <c r="BS94" s="38">
        <v>39598</v>
      </c>
      <c r="BT94" s="38">
        <v>31699</v>
      </c>
      <c r="BU94" s="38">
        <v>9393</v>
      </c>
      <c r="BV94" s="38">
        <v>31940</v>
      </c>
      <c r="BW94" s="38">
        <v>35442</v>
      </c>
      <c r="BX94" s="38">
        <v>8982</v>
      </c>
      <c r="BY94" s="38">
        <v>4938</v>
      </c>
      <c r="BZ94" s="38">
        <v>12773</v>
      </c>
      <c r="CA94" s="38">
        <v>13499</v>
      </c>
      <c r="CB94" s="38">
        <v>4514</v>
      </c>
      <c r="CC94" s="24"/>
      <c r="CD94" s="24"/>
    </row>
    <row r="95" spans="1:83" s="8" customFormat="1" ht="12.75" customHeight="1" x14ac:dyDescent="0.5">
      <c r="C95" s="42" t="s">
        <v>140</v>
      </c>
      <c r="D95" s="42"/>
    </row>
    <row r="96" spans="1:83" ht="12.75" customHeight="1" x14ac:dyDescent="0.5">
      <c r="BB96" s="55"/>
    </row>
    <row r="97" spans="1:81" ht="12.75" customHeight="1" x14ac:dyDescent="0.5">
      <c r="A97" s="26" t="s">
        <v>187</v>
      </c>
      <c r="B97" s="26" t="s">
        <v>393</v>
      </c>
      <c r="C97" s="26" t="s">
        <v>394</v>
      </c>
      <c r="Z97" s="56">
        <v>651.79999999999995</v>
      </c>
      <c r="AA97" s="56">
        <v>719.5</v>
      </c>
      <c r="AB97" s="56">
        <v>781.3</v>
      </c>
      <c r="AC97" s="56">
        <v>870.4</v>
      </c>
      <c r="AD97" s="56">
        <v>935.8</v>
      </c>
      <c r="AE97" s="56">
        <v>891.6</v>
      </c>
      <c r="AF97" s="56">
        <v>1011</v>
      </c>
      <c r="AG97" s="56">
        <v>1015</v>
      </c>
      <c r="AH97" s="56">
        <v>1043</v>
      </c>
      <c r="AI97" s="56">
        <v>1133</v>
      </c>
      <c r="AJ97" s="56">
        <v>1210</v>
      </c>
      <c r="AK97" s="56">
        <v>1282</v>
      </c>
      <c r="AL97" s="56">
        <v>1428</v>
      </c>
      <c r="AM97" s="56">
        <v>1526</v>
      </c>
      <c r="AN97" s="56">
        <v>1676</v>
      </c>
      <c r="AO97" s="56">
        <v>1816</v>
      </c>
      <c r="AP97" s="56">
        <v>2706</v>
      </c>
      <c r="AQ97" s="56">
        <v>2881</v>
      </c>
      <c r="AR97" s="56">
        <v>2895</v>
      </c>
      <c r="AS97" s="56">
        <v>2975</v>
      </c>
      <c r="AT97" s="56">
        <v>2995</v>
      </c>
      <c r="AU97" s="56">
        <v>3698</v>
      </c>
      <c r="AV97" s="56">
        <v>3927</v>
      </c>
      <c r="AW97" s="56">
        <v>3981</v>
      </c>
      <c r="AX97" s="56">
        <v>4120</v>
      </c>
      <c r="AY97" s="56">
        <v>4324</v>
      </c>
      <c r="AZ97" s="56">
        <v>4380</v>
      </c>
      <c r="BA97" s="56">
        <v>4702</v>
      </c>
      <c r="BB97" s="56">
        <v>4843</v>
      </c>
      <c r="BC97" s="56">
        <v>5031.3</v>
      </c>
      <c r="BD97" s="56">
        <v>5124</v>
      </c>
      <c r="BE97" s="56">
        <v>5389</v>
      </c>
      <c r="BF97" s="56">
        <v>5392</v>
      </c>
      <c r="BG97" s="56">
        <v>5455</v>
      </c>
      <c r="BH97" s="56">
        <v>5564</v>
      </c>
      <c r="BI97" s="56">
        <v>5428</v>
      </c>
      <c r="BJ97" s="56">
        <v>5557</v>
      </c>
      <c r="BK97" s="56">
        <v>5545</v>
      </c>
      <c r="BL97" s="56">
        <v>5598</v>
      </c>
      <c r="BM97" s="56">
        <v>5765</v>
      </c>
      <c r="BN97" s="56">
        <v>5974</v>
      </c>
      <c r="BO97" s="56">
        <v>6064</v>
      </c>
      <c r="BP97" s="56">
        <v>6078</v>
      </c>
      <c r="BQ97" s="56">
        <v>6062</v>
      </c>
      <c r="BR97" s="56">
        <v>6131</v>
      </c>
      <c r="BS97" s="56">
        <v>7185</v>
      </c>
      <c r="BT97" s="56">
        <v>7395</v>
      </c>
      <c r="BU97" s="56">
        <v>7592</v>
      </c>
      <c r="BV97" s="56">
        <v>7632</v>
      </c>
      <c r="BW97" s="56">
        <v>8229</v>
      </c>
      <c r="BX97" s="56">
        <v>8564</v>
      </c>
      <c r="BY97" s="56">
        <v>8831</v>
      </c>
      <c r="BZ97" s="56">
        <v>9381</v>
      </c>
      <c r="CA97" s="56">
        <v>9858</v>
      </c>
      <c r="CB97" s="56">
        <v>9971</v>
      </c>
      <c r="CC97" s="131"/>
    </row>
    <row r="98" spans="1:81" ht="12.75" customHeight="1" x14ac:dyDescent="0.5">
      <c r="C98" s="29" t="s">
        <v>157</v>
      </c>
      <c r="Z98" s="56"/>
      <c r="AA98" s="56">
        <v>24.4</v>
      </c>
      <c r="AB98" s="56">
        <v>29.9</v>
      </c>
      <c r="AC98" s="56">
        <v>35.5</v>
      </c>
      <c r="AD98" s="56">
        <v>42</v>
      </c>
      <c r="AE98" s="56">
        <v>62.5</v>
      </c>
      <c r="AF98" s="56">
        <v>114.4</v>
      </c>
      <c r="AG98" s="56">
        <v>121.3</v>
      </c>
      <c r="AH98" s="56">
        <v>146.19999999999999</v>
      </c>
      <c r="AI98" s="56">
        <v>147.5</v>
      </c>
      <c r="AJ98" s="56">
        <v>146.80000000000001</v>
      </c>
      <c r="AK98" s="56"/>
      <c r="AL98" s="56"/>
      <c r="AM98" s="56"/>
      <c r="AN98" s="56">
        <v>183.2</v>
      </c>
      <c r="AO98" s="56">
        <v>194</v>
      </c>
      <c r="AP98" s="56"/>
      <c r="AQ98" s="56"/>
      <c r="AR98" s="56"/>
      <c r="AS98" s="56"/>
      <c r="AT98" s="56"/>
      <c r="AU98" s="56"/>
      <c r="AV98" s="56"/>
      <c r="AW98" s="56">
        <v>368.5</v>
      </c>
      <c r="AX98" s="56">
        <v>371.5</v>
      </c>
      <c r="AY98" s="56">
        <v>385.3</v>
      </c>
      <c r="AZ98" s="56">
        <v>452.9</v>
      </c>
      <c r="BA98" s="56">
        <v>445.3</v>
      </c>
      <c r="BB98" s="56">
        <v>485.7</v>
      </c>
      <c r="BC98" s="56">
        <v>524.70000000000005</v>
      </c>
      <c r="BD98" s="56"/>
      <c r="BE98" s="56"/>
      <c r="BF98" s="56"/>
      <c r="BG98" s="56"/>
      <c r="BH98" s="56"/>
      <c r="BI98" s="56"/>
      <c r="BJ98" s="56"/>
      <c r="BK98" s="56"/>
      <c r="BL98" s="56"/>
      <c r="BM98" s="56"/>
      <c r="BN98" s="56"/>
      <c r="BO98" s="56"/>
      <c r="BP98" s="56"/>
      <c r="BQ98" s="56"/>
      <c r="BR98" s="56"/>
      <c r="BS98" s="56"/>
      <c r="BT98" s="56"/>
      <c r="BU98" s="56"/>
      <c r="BV98" s="56"/>
      <c r="BW98" s="56"/>
      <c r="BX98" s="56"/>
      <c r="BY98" s="56"/>
      <c r="BZ98" s="56"/>
      <c r="CA98" s="56"/>
      <c r="CB98" s="56"/>
      <c r="CC98" s="131"/>
    </row>
    <row r="99" spans="1:81" ht="12.75" customHeight="1" x14ac:dyDescent="0.5">
      <c r="C99" s="29" t="s">
        <v>158</v>
      </c>
      <c r="Z99" s="56"/>
      <c r="AA99" s="56">
        <v>14.2</v>
      </c>
      <c r="AB99" s="56">
        <v>17.2</v>
      </c>
      <c r="AC99" s="56">
        <v>22.5</v>
      </c>
      <c r="AD99" s="56">
        <v>27.4</v>
      </c>
      <c r="AE99" s="56">
        <v>31.8</v>
      </c>
      <c r="AF99" s="56">
        <v>33.9</v>
      </c>
      <c r="AG99" s="56">
        <v>36</v>
      </c>
      <c r="AH99" s="56"/>
      <c r="AI99" s="56"/>
      <c r="AJ99" s="56"/>
      <c r="AK99" s="56"/>
      <c r="AL99" s="56"/>
      <c r="AM99" s="56"/>
      <c r="AN99" s="56"/>
      <c r="AO99" s="56"/>
      <c r="AP99" s="56"/>
      <c r="AQ99" s="56"/>
      <c r="AR99" s="56"/>
      <c r="AS99" s="56"/>
      <c r="AT99" s="56"/>
      <c r="AU99" s="56"/>
      <c r="AV99" s="56"/>
      <c r="AW99" s="56"/>
      <c r="AX99" s="56"/>
      <c r="AY99" s="56"/>
      <c r="AZ99" s="56"/>
      <c r="BA99" s="56">
        <v>360.1</v>
      </c>
      <c r="BB99" s="56">
        <v>345</v>
      </c>
      <c r="BC99" s="56">
        <v>368.2</v>
      </c>
      <c r="BD99" s="56">
        <v>367.99116997792493</v>
      </c>
      <c r="BE99" s="56"/>
      <c r="BF99" s="56">
        <v>384.75336322869953</v>
      </c>
      <c r="BG99" s="56">
        <v>381.08695652173913</v>
      </c>
      <c r="BH99" s="56"/>
      <c r="BI99" s="56">
        <v>403.10262529832937</v>
      </c>
      <c r="BJ99" s="56">
        <v>356.43564356435644</v>
      </c>
      <c r="BK99" s="56">
        <v>405.53097345132744</v>
      </c>
      <c r="BL99" s="56"/>
      <c r="BM99" s="56"/>
      <c r="BN99" s="56"/>
      <c r="BO99" s="56"/>
      <c r="BP99" s="56"/>
      <c r="BQ99" s="56"/>
      <c r="BR99" s="56"/>
      <c r="BS99" s="56"/>
      <c r="BT99" s="56"/>
      <c r="BU99" s="56"/>
      <c r="BV99" s="56"/>
      <c r="BW99" s="56"/>
      <c r="BX99" s="56"/>
      <c r="BY99" s="56"/>
      <c r="BZ99" s="56"/>
      <c r="CA99" s="56"/>
      <c r="CB99" s="56"/>
      <c r="CC99" s="131"/>
    </row>
    <row r="100" spans="1:81" ht="12.75" customHeight="1" x14ac:dyDescent="0.5">
      <c r="Z100" s="56"/>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c r="BF100" s="56"/>
      <c r="BG100" s="56"/>
      <c r="BH100" s="56"/>
      <c r="BI100" s="56"/>
      <c r="BJ100" s="56"/>
      <c r="BK100" s="56"/>
      <c r="BL100" s="56"/>
      <c r="BM100" s="56"/>
      <c r="BN100" s="56"/>
      <c r="BO100" s="56"/>
      <c r="BP100" s="56"/>
      <c r="BQ100" s="56"/>
      <c r="BR100" s="56"/>
      <c r="BS100" s="56"/>
      <c r="BT100" s="56"/>
      <c r="BU100" s="56"/>
      <c r="BV100" s="56"/>
      <c r="BW100" s="56"/>
      <c r="BX100" s="56"/>
      <c r="BY100" s="56"/>
      <c r="BZ100" s="56"/>
      <c r="CA100" s="56"/>
      <c r="CB100" s="56"/>
      <c r="CC100" s="131"/>
    </row>
    <row r="101" spans="1:81" s="4" customFormat="1" ht="12.75" customHeight="1" x14ac:dyDescent="0.5">
      <c r="A101" s="26" t="s">
        <v>187</v>
      </c>
      <c r="B101" s="26" t="s">
        <v>393</v>
      </c>
      <c r="C101" s="4" t="s">
        <v>159</v>
      </c>
      <c r="Z101" s="38">
        <v>15.4</v>
      </c>
      <c r="AA101" s="38">
        <v>19.2</v>
      </c>
      <c r="AB101" s="38">
        <v>20.100000000000001</v>
      </c>
      <c r="AC101" s="38">
        <v>22.2</v>
      </c>
      <c r="AD101" s="38">
        <v>26.6</v>
      </c>
      <c r="AE101" s="38">
        <v>30.1</v>
      </c>
      <c r="AF101" s="38">
        <v>35.9</v>
      </c>
      <c r="AG101" s="38">
        <v>48</v>
      </c>
      <c r="AH101" s="38">
        <v>63.2</v>
      </c>
      <c r="AI101" s="38">
        <v>88.8</v>
      </c>
      <c r="AJ101" s="38">
        <v>101.4</v>
      </c>
      <c r="AK101" s="38">
        <v>115.2</v>
      </c>
      <c r="AL101" s="38">
        <v>126.9</v>
      </c>
      <c r="AM101" s="38">
        <v>140.69999999999999</v>
      </c>
      <c r="AN101" s="38">
        <v>162</v>
      </c>
      <c r="AO101" s="38">
        <v>179.30000000000004</v>
      </c>
      <c r="AP101" s="38">
        <v>195.8</v>
      </c>
      <c r="AQ101" s="38">
        <v>226.8</v>
      </c>
      <c r="AR101" s="38">
        <v>274.8</v>
      </c>
      <c r="AS101" s="38">
        <v>314</v>
      </c>
      <c r="AT101" s="38">
        <v>354</v>
      </c>
      <c r="AU101" s="38">
        <v>377</v>
      </c>
      <c r="AV101" s="38">
        <v>410.6</v>
      </c>
      <c r="AW101" s="38">
        <v>409.9</v>
      </c>
      <c r="AX101" s="38">
        <v>438.4</v>
      </c>
      <c r="AY101" s="38">
        <v>493.7</v>
      </c>
      <c r="AZ101" s="38">
        <v>510.9</v>
      </c>
      <c r="BA101" s="38">
        <v>437.2</v>
      </c>
      <c r="BB101" s="38">
        <v>458.7</v>
      </c>
      <c r="BC101" s="38">
        <v>522.20000000000005</v>
      </c>
      <c r="BD101" s="38">
        <v>540.20000000000005</v>
      </c>
      <c r="BE101" s="38">
        <v>640.70000000000005</v>
      </c>
      <c r="BF101" s="38">
        <v>618.5</v>
      </c>
      <c r="BG101" s="38">
        <v>614.20000000000005</v>
      </c>
      <c r="BH101" s="38">
        <v>629.1</v>
      </c>
      <c r="BI101" s="38">
        <v>531.29999999999995</v>
      </c>
      <c r="BJ101" s="38">
        <v>614.79999999999995</v>
      </c>
      <c r="BK101" s="38">
        <v>632.4</v>
      </c>
      <c r="BL101" s="38">
        <v>658.3</v>
      </c>
      <c r="BM101" s="38">
        <v>687.5</v>
      </c>
      <c r="BN101" s="38">
        <v>700.5</v>
      </c>
      <c r="BO101" s="38">
        <v>661.8</v>
      </c>
      <c r="BP101" s="38">
        <f>SUM(BP102:BP105)</f>
        <v>762.5</v>
      </c>
      <c r="BQ101" s="38">
        <f>SUM(BQ102:BQ105)</f>
        <v>817.6</v>
      </c>
      <c r="BR101" s="38">
        <f>SUM(BR102:BR105)</f>
        <v>836.5</v>
      </c>
      <c r="BS101" s="38">
        <f>SUM(BS102:BS105)</f>
        <v>879.9</v>
      </c>
      <c r="BT101" s="38">
        <v>925</v>
      </c>
      <c r="BU101" s="38">
        <v>934</v>
      </c>
      <c r="BV101" s="38">
        <v>1030</v>
      </c>
      <c r="BW101" s="38">
        <v>1180</v>
      </c>
      <c r="BX101" s="38">
        <v>1382</v>
      </c>
      <c r="BY101" s="38">
        <v>1472.6</v>
      </c>
      <c r="BZ101" s="38">
        <v>1653.4</v>
      </c>
      <c r="CA101" s="38">
        <v>1767.7</v>
      </c>
      <c r="CB101" s="38">
        <v>1914.8</v>
      </c>
      <c r="CC101" s="41"/>
    </row>
    <row r="102" spans="1:81" s="4" customFormat="1" ht="12.75" customHeight="1" x14ac:dyDescent="0.5">
      <c r="C102" s="29" t="s">
        <v>160</v>
      </c>
      <c r="Z102" s="38"/>
      <c r="AA102" s="38">
        <v>6.3</v>
      </c>
      <c r="AB102" s="38">
        <v>6.4</v>
      </c>
      <c r="AC102" s="38">
        <v>7.2</v>
      </c>
      <c r="AD102" s="38">
        <v>9.1</v>
      </c>
      <c r="AE102" s="38">
        <v>10.199999999999999</v>
      </c>
      <c r="AF102" s="38">
        <v>12.7</v>
      </c>
      <c r="AG102" s="38">
        <v>19</v>
      </c>
      <c r="AH102" s="38">
        <v>24.1</v>
      </c>
      <c r="AI102" s="38">
        <v>31.8</v>
      </c>
      <c r="AJ102" s="38">
        <v>36.1</v>
      </c>
      <c r="AK102" s="38">
        <v>39.799999999999997</v>
      </c>
      <c r="AL102" s="38">
        <v>41</v>
      </c>
      <c r="AM102" s="38">
        <v>46.3</v>
      </c>
      <c r="AN102" s="38">
        <v>53.5</v>
      </c>
      <c r="AO102" s="38">
        <v>59.2</v>
      </c>
      <c r="AP102" s="38">
        <v>64.7</v>
      </c>
      <c r="AQ102" s="38">
        <v>73.7</v>
      </c>
      <c r="AR102" s="38">
        <v>94.8</v>
      </c>
      <c r="AS102" s="38">
        <v>106.5</v>
      </c>
      <c r="AT102" s="38">
        <v>104.7</v>
      </c>
      <c r="AU102" s="38">
        <v>109.2</v>
      </c>
      <c r="AV102" s="38">
        <v>112.2</v>
      </c>
      <c r="AW102" s="38"/>
      <c r="AX102" s="38">
        <v>129.6</v>
      </c>
      <c r="AY102" s="38">
        <v>139.6</v>
      </c>
      <c r="AZ102" s="38">
        <v>150.5</v>
      </c>
      <c r="BA102" s="38"/>
      <c r="BB102" s="38">
        <v>163.19999999999999</v>
      </c>
      <c r="BC102" s="38">
        <v>165.2</v>
      </c>
      <c r="BD102" s="38">
        <v>173.6</v>
      </c>
      <c r="BE102" s="38">
        <v>166.7</v>
      </c>
      <c r="BF102" s="38"/>
      <c r="BG102" s="38">
        <v>171.6</v>
      </c>
      <c r="BH102" s="38">
        <v>175.3</v>
      </c>
      <c r="BI102" s="38">
        <v>151.1</v>
      </c>
      <c r="BJ102" s="38">
        <v>168.9</v>
      </c>
      <c r="BK102" s="38">
        <v>180</v>
      </c>
      <c r="BL102" s="38">
        <v>183.3</v>
      </c>
      <c r="BM102" s="38">
        <v>187.1</v>
      </c>
      <c r="BN102" s="38">
        <v>195.3</v>
      </c>
      <c r="BO102" s="38">
        <v>173.9</v>
      </c>
      <c r="BP102" s="38">
        <v>208.8</v>
      </c>
      <c r="BQ102" s="38">
        <v>235.7</v>
      </c>
      <c r="BR102" s="38">
        <v>256.7</v>
      </c>
      <c r="BS102" s="38">
        <v>251.1</v>
      </c>
      <c r="BT102" s="38">
        <v>272.7</v>
      </c>
      <c r="BU102" s="38">
        <v>263.89999999999998</v>
      </c>
      <c r="BV102" s="38">
        <v>299.5</v>
      </c>
      <c r="BW102" s="38">
        <v>313</v>
      </c>
      <c r="BX102" s="38">
        <v>387.7</v>
      </c>
      <c r="BY102" s="38">
        <v>445.3</v>
      </c>
      <c r="BZ102" s="38">
        <v>498.9</v>
      </c>
      <c r="CA102" s="38">
        <v>521.6</v>
      </c>
      <c r="CB102" s="38">
        <v>532.1</v>
      </c>
      <c r="CC102" s="41"/>
    </row>
    <row r="103" spans="1:81" s="4" customFormat="1" ht="12.75" customHeight="1" x14ac:dyDescent="0.5">
      <c r="C103" s="29" t="s">
        <v>161</v>
      </c>
      <c r="Z103" s="38"/>
      <c r="AA103" s="38">
        <v>5.3</v>
      </c>
      <c r="AB103" s="38">
        <v>5.6</v>
      </c>
      <c r="AC103" s="38">
        <v>5.6</v>
      </c>
      <c r="AD103" s="38">
        <v>6.9</v>
      </c>
      <c r="AE103" s="38">
        <v>8.1999999999999993</v>
      </c>
      <c r="AF103" s="38">
        <v>9.1</v>
      </c>
      <c r="AG103" s="38">
        <v>12.6</v>
      </c>
      <c r="AH103" s="38">
        <v>18.5</v>
      </c>
      <c r="AI103" s="38">
        <v>26.6</v>
      </c>
      <c r="AJ103" s="38">
        <v>28.9</v>
      </c>
      <c r="AK103" s="38">
        <v>33.799999999999997</v>
      </c>
      <c r="AL103" s="38">
        <v>37.299999999999997</v>
      </c>
      <c r="AM103" s="38">
        <v>37.4</v>
      </c>
      <c r="AN103" s="38">
        <v>43.9</v>
      </c>
      <c r="AO103" s="38">
        <v>48.6</v>
      </c>
      <c r="AP103" s="38">
        <v>54</v>
      </c>
      <c r="AQ103" s="38">
        <v>62.6</v>
      </c>
      <c r="AR103" s="38">
        <v>75.3</v>
      </c>
      <c r="AS103" s="38">
        <v>90</v>
      </c>
      <c r="AT103" s="38">
        <v>109.9</v>
      </c>
      <c r="AU103" s="38">
        <v>97.6</v>
      </c>
      <c r="AV103" s="38">
        <v>100.8</v>
      </c>
      <c r="AW103" s="38"/>
      <c r="AX103" s="38"/>
      <c r="AY103" s="38">
        <v>126.6</v>
      </c>
      <c r="AZ103" s="38">
        <v>118.96</v>
      </c>
      <c r="BA103" s="38">
        <v>149.80000000000001</v>
      </c>
      <c r="BB103" s="38"/>
      <c r="BC103" s="38"/>
      <c r="BD103" s="38">
        <v>159.4</v>
      </c>
      <c r="BE103" s="38">
        <v>159</v>
      </c>
      <c r="BF103" s="38"/>
      <c r="BG103" s="38">
        <v>159.80000000000001</v>
      </c>
      <c r="BH103" s="38">
        <v>164</v>
      </c>
      <c r="BI103" s="38">
        <v>134.30000000000001</v>
      </c>
      <c r="BJ103" s="38">
        <v>164.5</v>
      </c>
      <c r="BK103" s="38">
        <v>164.7</v>
      </c>
      <c r="BL103" s="38">
        <v>175</v>
      </c>
      <c r="BM103" s="38">
        <v>182.4</v>
      </c>
      <c r="BN103" s="38">
        <v>185</v>
      </c>
      <c r="BO103" s="38">
        <v>181.9</v>
      </c>
      <c r="BP103" s="38">
        <v>197.6</v>
      </c>
      <c r="BQ103" s="38">
        <v>202.3</v>
      </c>
      <c r="BR103" s="38">
        <v>206.1</v>
      </c>
      <c r="BS103" s="38">
        <v>238</v>
      </c>
      <c r="BT103" s="38">
        <v>238.6</v>
      </c>
      <c r="BU103" s="38">
        <v>232.3</v>
      </c>
      <c r="BV103" s="38">
        <v>251.1</v>
      </c>
      <c r="BW103" s="38">
        <v>323</v>
      </c>
      <c r="BX103" s="38">
        <v>359.7</v>
      </c>
      <c r="BY103" s="38">
        <v>377.1</v>
      </c>
      <c r="BZ103" s="38">
        <v>443.9</v>
      </c>
      <c r="CA103" s="38">
        <v>460</v>
      </c>
      <c r="CB103" s="38">
        <v>513.9</v>
      </c>
      <c r="CC103" s="41"/>
    </row>
    <row r="104" spans="1:81" s="4" customFormat="1" ht="12.75" customHeight="1" x14ac:dyDescent="0.5">
      <c r="C104" s="29" t="s">
        <v>162</v>
      </c>
      <c r="Z104" s="38"/>
      <c r="AA104" s="38">
        <v>3.3</v>
      </c>
      <c r="AB104" s="38">
        <v>4.4000000000000004</v>
      </c>
      <c r="AC104" s="38">
        <v>4.5999999999999996</v>
      </c>
      <c r="AD104" s="38">
        <v>5.3</v>
      </c>
      <c r="AE104" s="38">
        <v>5.8</v>
      </c>
      <c r="AF104" s="38">
        <v>7</v>
      </c>
      <c r="AG104" s="38">
        <v>7.8</v>
      </c>
      <c r="AH104" s="38">
        <v>11.2</v>
      </c>
      <c r="AI104" s="38">
        <v>16.899999999999999</v>
      </c>
      <c r="AJ104" s="38">
        <v>20.2</v>
      </c>
      <c r="AK104" s="38">
        <v>20.6</v>
      </c>
      <c r="AL104" s="38">
        <v>24.5</v>
      </c>
      <c r="AM104" s="38">
        <v>28.4</v>
      </c>
      <c r="AN104" s="38">
        <v>31</v>
      </c>
      <c r="AO104" s="38">
        <v>34.299999999999997</v>
      </c>
      <c r="AP104" s="38">
        <v>37.6</v>
      </c>
      <c r="AQ104" s="38">
        <v>45.7</v>
      </c>
      <c r="AR104" s="38">
        <v>54.8</v>
      </c>
      <c r="AS104" s="38">
        <v>60.8</v>
      </c>
      <c r="AT104" s="38">
        <v>74.599999999999994</v>
      </c>
      <c r="AU104" s="38">
        <v>89.7</v>
      </c>
      <c r="AV104" s="38">
        <v>100.1</v>
      </c>
      <c r="AW104" s="38"/>
      <c r="AX104" s="38"/>
      <c r="AY104" s="38">
        <v>103</v>
      </c>
      <c r="AZ104" s="38">
        <v>110.9</v>
      </c>
      <c r="BA104" s="38">
        <v>138.80000000000001</v>
      </c>
      <c r="BB104" s="38">
        <v>140.80000000000001</v>
      </c>
      <c r="BC104" s="38"/>
      <c r="BD104" s="38">
        <v>155</v>
      </c>
      <c r="BE104" s="38">
        <v>144.4</v>
      </c>
      <c r="BF104" s="38"/>
      <c r="BG104" s="38">
        <v>146.9</v>
      </c>
      <c r="BH104" s="38">
        <v>150.6</v>
      </c>
      <c r="BI104" s="38">
        <v>128.1</v>
      </c>
      <c r="BJ104" s="38">
        <v>145.4</v>
      </c>
      <c r="BK104" s="38">
        <v>152.5</v>
      </c>
      <c r="BL104" s="38">
        <v>155.80000000000001</v>
      </c>
      <c r="BM104" s="38">
        <v>168.9</v>
      </c>
      <c r="BN104" s="38">
        <v>168.2</v>
      </c>
      <c r="BO104" s="38">
        <v>161.30000000000001</v>
      </c>
      <c r="BP104" s="38">
        <v>186</v>
      </c>
      <c r="BQ104" s="38">
        <v>193.7</v>
      </c>
      <c r="BR104" s="38">
        <v>188.5</v>
      </c>
      <c r="BS104" s="38">
        <v>203.9</v>
      </c>
      <c r="BT104" s="38">
        <v>223.1</v>
      </c>
      <c r="BU104" s="38">
        <v>228.7</v>
      </c>
      <c r="BV104" s="38">
        <v>236.4</v>
      </c>
      <c r="BW104" s="38">
        <v>292.7</v>
      </c>
      <c r="BX104" s="38">
        <v>337.6</v>
      </c>
      <c r="BY104" s="38">
        <v>312.89999999999998</v>
      </c>
      <c r="BZ104" s="38">
        <v>398.6</v>
      </c>
      <c r="CA104" s="38">
        <v>413.1</v>
      </c>
      <c r="CB104" s="38">
        <v>457.4</v>
      </c>
      <c r="CC104" s="41"/>
    </row>
    <row r="105" spans="1:81" s="4" customFormat="1" ht="12.75" customHeight="1" x14ac:dyDescent="0.5">
      <c r="C105" s="29" t="s">
        <v>163</v>
      </c>
      <c r="Z105" s="38"/>
      <c r="AA105" s="38">
        <v>2.6</v>
      </c>
      <c r="AB105" s="38">
        <v>3.2</v>
      </c>
      <c r="AC105" s="38">
        <v>4</v>
      </c>
      <c r="AD105" s="38">
        <v>4.3</v>
      </c>
      <c r="AE105" s="38">
        <v>4.8</v>
      </c>
      <c r="AF105" s="38">
        <v>5.6</v>
      </c>
      <c r="AG105" s="38">
        <v>6.8</v>
      </c>
      <c r="AH105" s="38">
        <v>7.1</v>
      </c>
      <c r="AI105" s="38">
        <v>10.8</v>
      </c>
      <c r="AJ105" s="38">
        <v>14.7</v>
      </c>
      <c r="AK105" s="38">
        <v>17.3</v>
      </c>
      <c r="AL105" s="38">
        <v>19.3</v>
      </c>
      <c r="AM105" s="38">
        <v>23.1</v>
      </c>
      <c r="AN105" s="38">
        <v>26.9</v>
      </c>
      <c r="AO105" s="38">
        <v>29.8</v>
      </c>
      <c r="AP105" s="38">
        <v>31.7</v>
      </c>
      <c r="AQ105" s="38">
        <v>34</v>
      </c>
      <c r="AR105" s="38">
        <v>45.6</v>
      </c>
      <c r="AS105" s="38">
        <v>52.6</v>
      </c>
      <c r="AT105" s="38">
        <v>60</v>
      </c>
      <c r="AU105" s="38">
        <v>71.900000000000006</v>
      </c>
      <c r="AV105" s="38">
        <v>87</v>
      </c>
      <c r="AW105" s="38"/>
      <c r="AX105" s="38">
        <v>84.3</v>
      </c>
      <c r="AY105" s="38">
        <v>101.3</v>
      </c>
      <c r="AZ105" s="38">
        <v>105.2</v>
      </c>
      <c r="BA105" s="38">
        <v>116.2</v>
      </c>
      <c r="BB105" s="38">
        <v>118.6</v>
      </c>
      <c r="BC105" s="38">
        <v>150.9</v>
      </c>
      <c r="BD105" s="38"/>
      <c r="BE105" s="38">
        <v>139</v>
      </c>
      <c r="BF105" s="38"/>
      <c r="BG105" s="38">
        <v>135.80000000000001</v>
      </c>
      <c r="BH105" s="38">
        <v>139.1</v>
      </c>
      <c r="BI105" s="38">
        <v>117.8</v>
      </c>
      <c r="BJ105" s="38">
        <v>141</v>
      </c>
      <c r="BK105" s="38">
        <v>135.19999999999999</v>
      </c>
      <c r="BL105" s="38">
        <v>144.1</v>
      </c>
      <c r="BM105" s="38">
        <v>149.1</v>
      </c>
      <c r="BN105" s="38">
        <v>152.1</v>
      </c>
      <c r="BO105" s="38">
        <v>144.80000000000001</v>
      </c>
      <c r="BP105" s="38">
        <v>170.1</v>
      </c>
      <c r="BQ105" s="38">
        <v>185.9</v>
      </c>
      <c r="BR105" s="38">
        <v>185.2</v>
      </c>
      <c r="BS105" s="38">
        <v>186.9</v>
      </c>
      <c r="BT105" s="38">
        <v>190.7</v>
      </c>
      <c r="BU105" s="38">
        <v>209.3</v>
      </c>
      <c r="BV105" s="38">
        <v>243.1</v>
      </c>
      <c r="BW105" s="38">
        <v>251.6</v>
      </c>
      <c r="BX105" s="38">
        <v>297.3</v>
      </c>
      <c r="BY105" s="38">
        <v>337.3</v>
      </c>
      <c r="BZ105" s="38">
        <v>311.89999999999998</v>
      </c>
      <c r="CA105" s="38">
        <v>373.1</v>
      </c>
      <c r="CB105" s="38">
        <v>411.3</v>
      </c>
      <c r="CC105" s="41"/>
    </row>
    <row r="106" spans="1:81" s="4" customFormat="1" ht="12.75" customHeight="1" x14ac:dyDescent="0.5">
      <c r="C106" s="29" t="s">
        <v>164</v>
      </c>
      <c r="Z106" s="41"/>
      <c r="AA106" s="38">
        <v>0.3</v>
      </c>
      <c r="AB106" s="38">
        <v>0.3</v>
      </c>
      <c r="AC106" s="38">
        <v>0.5</v>
      </c>
      <c r="AD106" s="38">
        <v>0.66</v>
      </c>
      <c r="AE106" s="38">
        <v>0.67</v>
      </c>
      <c r="AF106" s="38">
        <v>0.86</v>
      </c>
      <c r="AG106" s="38">
        <v>1.1000000000000001</v>
      </c>
      <c r="AH106" s="38">
        <v>1.4</v>
      </c>
      <c r="AI106" s="38">
        <v>1.6</v>
      </c>
      <c r="AJ106" s="38">
        <v>1.8</v>
      </c>
      <c r="AK106" s="38">
        <v>2.1</v>
      </c>
      <c r="AL106" s="38">
        <v>2.6</v>
      </c>
      <c r="AM106" s="38">
        <v>3</v>
      </c>
      <c r="AN106" s="38">
        <v>3.7</v>
      </c>
      <c r="AO106" s="38">
        <v>4.0999999999999996</v>
      </c>
      <c r="AP106" s="38">
        <v>4.0999999999999996</v>
      </c>
      <c r="AQ106" s="38">
        <v>4.8</v>
      </c>
      <c r="AR106" s="38">
        <v>5.2</v>
      </c>
      <c r="AS106" s="38">
        <v>5.2</v>
      </c>
      <c r="AT106" s="38">
        <v>7</v>
      </c>
      <c r="AU106" s="38">
        <v>8.6999999999999993</v>
      </c>
      <c r="AV106" s="38">
        <v>10.3</v>
      </c>
      <c r="AW106" s="38"/>
      <c r="AX106" s="38">
        <v>10.6</v>
      </c>
      <c r="AY106" s="38">
        <v>11.6</v>
      </c>
      <c r="AZ106" s="38">
        <v>13.6</v>
      </c>
      <c r="BA106" s="38">
        <v>19.399999999999999</v>
      </c>
      <c r="BB106" s="38">
        <v>18.8</v>
      </c>
      <c r="BC106" s="38">
        <v>21.7</v>
      </c>
      <c r="BD106" s="38">
        <v>27</v>
      </c>
      <c r="BE106" s="38"/>
      <c r="BF106" s="38"/>
      <c r="BG106" s="38"/>
      <c r="BH106" s="38"/>
      <c r="BI106" s="38"/>
      <c r="BJ106" s="38"/>
      <c r="BK106" s="38"/>
      <c r="BL106" s="38"/>
      <c r="BM106" s="38"/>
      <c r="BN106" s="38"/>
      <c r="BO106" s="38"/>
      <c r="BP106" s="38"/>
      <c r="BQ106" s="38"/>
      <c r="BR106" s="38"/>
      <c r="BS106" s="38"/>
      <c r="BT106" s="38"/>
      <c r="BU106" s="41"/>
      <c r="BV106" s="41"/>
      <c r="BW106" s="41"/>
      <c r="BX106" s="41"/>
      <c r="BY106" s="41"/>
      <c r="BZ106" s="41"/>
      <c r="CA106" s="41"/>
      <c r="CB106" s="41"/>
      <c r="CC106" s="41"/>
    </row>
    <row r="107" spans="1:81" s="4" customFormat="1" ht="12.75" customHeight="1" x14ac:dyDescent="0.5">
      <c r="C107" s="29" t="s">
        <v>165</v>
      </c>
      <c r="Z107" s="41"/>
      <c r="AA107" s="38">
        <v>0.15</v>
      </c>
      <c r="AB107" s="38">
        <v>0.15</v>
      </c>
      <c r="AC107" s="38">
        <v>0.28000000000000003</v>
      </c>
      <c r="AD107" s="38">
        <v>0.36</v>
      </c>
      <c r="AE107" s="38">
        <v>0.45</v>
      </c>
      <c r="AF107" s="38">
        <v>0.56000000000000005</v>
      </c>
      <c r="AG107" s="38">
        <v>0.7</v>
      </c>
      <c r="AH107" s="38">
        <v>0.9</v>
      </c>
      <c r="AI107" s="38">
        <v>1.1000000000000001</v>
      </c>
      <c r="AJ107" s="38">
        <v>1.4</v>
      </c>
      <c r="AK107" s="38">
        <v>1.6</v>
      </c>
      <c r="AL107" s="38">
        <v>2</v>
      </c>
      <c r="AM107" s="38">
        <v>2.6</v>
      </c>
      <c r="AN107" s="38">
        <v>3</v>
      </c>
      <c r="AO107" s="38">
        <v>3.3</v>
      </c>
      <c r="AP107" s="38">
        <v>3.5</v>
      </c>
      <c r="AQ107" s="38">
        <v>4.0999999999999996</v>
      </c>
      <c r="AR107" s="38">
        <v>4.5999999999999996</v>
      </c>
      <c r="AS107" s="38">
        <v>5.2</v>
      </c>
      <c r="AT107" s="38">
        <v>5.5</v>
      </c>
      <c r="AU107" s="38">
        <v>7.3</v>
      </c>
      <c r="AV107" s="38">
        <v>8.8000000000000007</v>
      </c>
      <c r="AW107" s="38"/>
      <c r="AX107" s="38">
        <v>9.9</v>
      </c>
      <c r="AY107" s="38">
        <v>11.6</v>
      </c>
      <c r="AZ107" s="38">
        <v>11.9</v>
      </c>
      <c r="BA107" s="38">
        <v>18.100000000000001</v>
      </c>
      <c r="BB107" s="38">
        <v>17.2</v>
      </c>
      <c r="BC107" s="38">
        <v>22.2</v>
      </c>
      <c r="BD107" s="38">
        <v>25</v>
      </c>
      <c r="BE107" s="38">
        <v>31.6</v>
      </c>
      <c r="BF107" s="38"/>
      <c r="BG107" s="38"/>
      <c r="BH107" s="38"/>
      <c r="BI107" s="38"/>
      <c r="BJ107" s="38"/>
      <c r="BK107" s="38"/>
      <c r="BL107" s="38"/>
      <c r="BM107" s="38"/>
      <c r="BN107" s="38"/>
      <c r="BO107" s="38"/>
      <c r="BP107" s="38"/>
      <c r="BQ107" s="38"/>
      <c r="BR107" s="38"/>
      <c r="BS107" s="38"/>
      <c r="BT107" s="38"/>
      <c r="BU107" s="41"/>
      <c r="BV107" s="41"/>
      <c r="BW107" s="41"/>
      <c r="BX107" s="41"/>
      <c r="BY107" s="41"/>
      <c r="BZ107" s="41"/>
      <c r="CA107" s="41"/>
      <c r="CB107" s="41"/>
      <c r="CC107" s="41"/>
    </row>
    <row r="108" spans="1:81" ht="12.75" customHeight="1" x14ac:dyDescent="0.5">
      <c r="Z108" s="131"/>
      <c r="AA108" s="131"/>
      <c r="AB108" s="131"/>
      <c r="AC108" s="131"/>
      <c r="AD108" s="131"/>
      <c r="AE108" s="131"/>
      <c r="AF108" s="131"/>
      <c r="AG108" s="131"/>
      <c r="AH108" s="131"/>
      <c r="AI108" s="131"/>
      <c r="AJ108" s="131"/>
      <c r="AK108" s="131"/>
      <c r="AL108" s="131"/>
      <c r="AM108" s="131"/>
      <c r="AN108" s="131"/>
      <c r="AO108" s="131"/>
      <c r="AP108" s="131"/>
      <c r="AQ108" s="131"/>
      <c r="AR108" s="131"/>
      <c r="AS108" s="131"/>
      <c r="AT108" s="131"/>
      <c r="AU108" s="131"/>
      <c r="AV108" s="131"/>
      <c r="AW108" s="131"/>
      <c r="AX108" s="131"/>
      <c r="AY108" s="131"/>
      <c r="AZ108" s="131"/>
      <c r="BA108" s="131"/>
      <c r="BB108" s="131"/>
      <c r="BC108" s="131"/>
      <c r="BD108" s="131"/>
      <c r="BE108" s="131"/>
      <c r="BF108" s="131"/>
      <c r="BG108" s="131"/>
      <c r="BH108" s="131"/>
      <c r="BI108" s="131"/>
      <c r="BJ108" s="131"/>
      <c r="BK108" s="131"/>
      <c r="BL108" s="131"/>
      <c r="BM108" s="131"/>
      <c r="BN108" s="131"/>
      <c r="BO108" s="131"/>
      <c r="BP108" s="131"/>
      <c r="BQ108" s="131"/>
      <c r="BR108" s="131"/>
      <c r="BS108" s="131"/>
      <c r="BT108" s="131"/>
      <c r="BU108" s="131"/>
      <c r="BV108" s="131"/>
      <c r="BW108" s="131"/>
      <c r="BX108" s="131"/>
      <c r="BY108" s="131"/>
      <c r="BZ108" s="131"/>
      <c r="CA108" s="131"/>
      <c r="CB108" s="131"/>
      <c r="CC108" s="131"/>
    </row>
    <row r="109" spans="1:81" ht="12.75" customHeight="1" x14ac:dyDescent="0.5">
      <c r="C109" s="26" t="s">
        <v>400</v>
      </c>
      <c r="Z109" s="131"/>
      <c r="AA109" s="131"/>
      <c r="AB109" s="131"/>
      <c r="AC109" s="131"/>
      <c r="AD109" s="131"/>
      <c r="AE109" s="131"/>
      <c r="AF109" s="131">
        <f t="shared" ref="AF109:BS109" si="19">AF114+AF115+AF116+AF117+AF118+AF120+AF110</f>
        <v>5.3360000000000003</v>
      </c>
      <c r="AG109" s="131">
        <f t="shared" si="19"/>
        <v>5.93</v>
      </c>
      <c r="AH109" s="131">
        <f t="shared" si="19"/>
        <v>6.32</v>
      </c>
      <c r="AI109" s="131">
        <f t="shared" si="19"/>
        <v>6.91</v>
      </c>
      <c r="AJ109" s="131">
        <f t="shared" si="19"/>
        <v>9.6999999999999993</v>
      </c>
      <c r="AK109" s="131">
        <f t="shared" si="19"/>
        <v>10.690000000000001</v>
      </c>
      <c r="AL109" s="131">
        <f t="shared" si="19"/>
        <v>12.879999999999999</v>
      </c>
      <c r="AM109" s="131">
        <f t="shared" si="19"/>
        <v>13.86</v>
      </c>
      <c r="AN109" s="131">
        <f t="shared" si="19"/>
        <v>14.399999999999999</v>
      </c>
      <c r="AO109" s="131">
        <f t="shared" si="19"/>
        <v>15.43</v>
      </c>
      <c r="AP109" s="131">
        <f t="shared" si="19"/>
        <v>17.200000000000003</v>
      </c>
      <c r="AQ109" s="131">
        <f t="shared" si="19"/>
        <v>18.11</v>
      </c>
      <c r="AR109" s="131">
        <f t="shared" si="19"/>
        <v>18.899999999999999</v>
      </c>
      <c r="AS109" s="131">
        <f t="shared" si="19"/>
        <v>18.385345535760258</v>
      </c>
      <c r="AT109" s="131">
        <f t="shared" si="19"/>
        <v>18.79979589711327</v>
      </c>
      <c r="AU109" s="131">
        <f t="shared" si="19"/>
        <v>21.954322404331812</v>
      </c>
      <c r="AV109" s="131">
        <f t="shared" si="19"/>
        <v>25.39</v>
      </c>
      <c r="AW109" s="131">
        <f t="shared" si="19"/>
        <v>27.16</v>
      </c>
      <c r="AX109" s="131">
        <f t="shared" si="19"/>
        <v>26.6</v>
      </c>
      <c r="AY109" s="131">
        <f t="shared" si="19"/>
        <v>16.200000000000003</v>
      </c>
      <c r="AZ109" s="131">
        <f t="shared" si="19"/>
        <v>22.9</v>
      </c>
      <c r="BA109" s="131">
        <f t="shared" si="19"/>
        <v>31.5</v>
      </c>
      <c r="BB109" s="131">
        <f t="shared" si="19"/>
        <v>32.200000000000003</v>
      </c>
      <c r="BC109" s="131">
        <f t="shared" si="19"/>
        <v>32.9</v>
      </c>
      <c r="BD109" s="131">
        <f t="shared" si="19"/>
        <v>39.799999999999997</v>
      </c>
      <c r="BE109" s="131">
        <f t="shared" si="19"/>
        <v>48</v>
      </c>
      <c r="BF109" s="131">
        <f t="shared" si="19"/>
        <v>53.800000000000004</v>
      </c>
      <c r="BG109" s="131">
        <f t="shared" si="19"/>
        <v>65.900000000000006</v>
      </c>
      <c r="BH109" s="131">
        <f t="shared" si="19"/>
        <v>70.100000000000009</v>
      </c>
      <c r="BI109" s="131">
        <f t="shared" si="19"/>
        <v>65.900000000000006</v>
      </c>
      <c r="BJ109" s="131">
        <f t="shared" si="19"/>
        <v>67.099999999999994</v>
      </c>
      <c r="BK109" s="131">
        <f t="shared" si="19"/>
        <v>67.5</v>
      </c>
      <c r="BL109" s="131">
        <f t="shared" si="19"/>
        <v>71.699999999999989</v>
      </c>
      <c r="BM109" s="131">
        <f t="shared" si="19"/>
        <v>72.599999999999994</v>
      </c>
      <c r="BN109" s="131">
        <f t="shared" si="19"/>
        <v>61.099999999999994</v>
      </c>
      <c r="BO109" s="131">
        <f t="shared" si="19"/>
        <v>69.400000000000006</v>
      </c>
      <c r="BP109" s="131">
        <f t="shared" si="19"/>
        <v>70.2</v>
      </c>
      <c r="BQ109" s="131">
        <f t="shared" si="19"/>
        <v>86.600000000000009</v>
      </c>
      <c r="BR109" s="131">
        <f t="shared" si="19"/>
        <v>100.6</v>
      </c>
      <c r="BS109" s="131">
        <f t="shared" si="19"/>
        <v>114.9</v>
      </c>
      <c r="BT109" s="131">
        <f>BT114+BT116+BT117+BT118+BT120+BT110</f>
        <v>119</v>
      </c>
      <c r="BU109" s="131">
        <f t="shared" ref="BU109:CC109" si="20">BU114+BU115+BU116+BU117+BU118+BU120+BU110</f>
        <v>131.6</v>
      </c>
      <c r="BV109" s="131">
        <f t="shared" si="20"/>
        <v>136.29999999999998</v>
      </c>
      <c r="BW109" s="131">
        <f t="shared" si="20"/>
        <v>154.1</v>
      </c>
      <c r="BX109" s="131">
        <f t="shared" si="20"/>
        <v>161.5</v>
      </c>
      <c r="BY109" s="131">
        <f t="shared" si="20"/>
        <v>168.8</v>
      </c>
      <c r="BZ109" s="131">
        <f t="shared" si="20"/>
        <v>191.4</v>
      </c>
      <c r="CA109" s="131">
        <f t="shared" si="20"/>
        <v>196.5</v>
      </c>
      <c r="CB109" s="131">
        <f t="shared" si="20"/>
        <v>234.60000000000002</v>
      </c>
      <c r="CC109" s="131">
        <f t="shared" si="20"/>
        <v>292.29999999999995</v>
      </c>
    </row>
    <row r="110" spans="1:81" s="4" customFormat="1" ht="12.75" customHeight="1" x14ac:dyDescent="0.5">
      <c r="A110" s="26" t="s">
        <v>187</v>
      </c>
      <c r="B110" s="26" t="s">
        <v>393</v>
      </c>
      <c r="C110" s="29" t="s">
        <v>389</v>
      </c>
      <c r="Z110" s="41">
        <v>3.5</v>
      </c>
      <c r="AA110" s="41">
        <v>3.9</v>
      </c>
      <c r="AB110" s="41">
        <v>4.0999999999999996</v>
      </c>
      <c r="AC110" s="41">
        <v>3.9</v>
      </c>
      <c r="AD110" s="41">
        <v>3.9</v>
      </c>
      <c r="AE110" s="41">
        <v>4.0999999999999996</v>
      </c>
      <c r="AF110" s="41">
        <v>4.8</v>
      </c>
      <c r="AG110" s="41">
        <v>5.3</v>
      </c>
      <c r="AH110" s="41">
        <v>5.5</v>
      </c>
      <c r="AI110" s="41">
        <v>5.9</v>
      </c>
      <c r="AJ110" s="41">
        <v>6.6</v>
      </c>
      <c r="AK110" s="41">
        <v>7.2</v>
      </c>
      <c r="AL110" s="41">
        <v>8.1</v>
      </c>
      <c r="AM110" s="41">
        <v>8.6</v>
      </c>
      <c r="AN110" s="41">
        <v>8.6999999999999993</v>
      </c>
      <c r="AO110" s="41">
        <v>8.9</v>
      </c>
      <c r="AP110" s="41">
        <v>8.9</v>
      </c>
      <c r="AQ110" s="41">
        <v>9.1999999999999993</v>
      </c>
      <c r="AR110" s="41">
        <v>9.1999999999999993</v>
      </c>
      <c r="AS110" s="41">
        <v>8.9</v>
      </c>
      <c r="AT110" s="41">
        <v>9</v>
      </c>
      <c r="AU110" s="41">
        <v>9.9</v>
      </c>
      <c r="AV110" s="41">
        <v>12.1</v>
      </c>
      <c r="AW110" s="41">
        <v>12.6</v>
      </c>
      <c r="AX110" s="41">
        <v>11.4</v>
      </c>
      <c r="AY110" s="41">
        <v>11.3</v>
      </c>
      <c r="AZ110" s="41">
        <v>15.4</v>
      </c>
      <c r="BA110" s="41">
        <v>15.8</v>
      </c>
      <c r="BB110" s="41">
        <v>15.6</v>
      </c>
      <c r="BC110" s="41">
        <v>17.8</v>
      </c>
      <c r="BD110" s="41">
        <v>18.399999999999999</v>
      </c>
      <c r="BE110" s="41">
        <v>20.100000000000001</v>
      </c>
      <c r="BF110" s="41">
        <v>21.1</v>
      </c>
      <c r="BG110" s="41">
        <v>19.899999999999999</v>
      </c>
      <c r="BH110" s="41">
        <v>20.3</v>
      </c>
      <c r="BI110" s="41">
        <v>16.5</v>
      </c>
      <c r="BJ110" s="41">
        <v>17.5</v>
      </c>
      <c r="BK110" s="41">
        <v>18.3</v>
      </c>
      <c r="BL110" s="41">
        <v>19.899999999999999</v>
      </c>
      <c r="BM110" s="41">
        <v>19.899999999999999</v>
      </c>
      <c r="BN110" s="41">
        <v>10.4</v>
      </c>
      <c r="BO110" s="41">
        <v>14.9</v>
      </c>
      <c r="BP110" s="41">
        <v>15.6</v>
      </c>
      <c r="BQ110" s="41">
        <v>17</v>
      </c>
      <c r="BR110" s="41">
        <v>18.100000000000001</v>
      </c>
      <c r="BS110" s="41">
        <v>21.7</v>
      </c>
      <c r="BT110" s="41">
        <v>22.2</v>
      </c>
      <c r="BU110" s="41">
        <v>22.3</v>
      </c>
      <c r="BV110" s="41">
        <v>22.6</v>
      </c>
      <c r="BW110" s="41">
        <v>22.9</v>
      </c>
      <c r="BX110" s="41">
        <v>24.4</v>
      </c>
      <c r="BY110" s="41">
        <v>26.3</v>
      </c>
      <c r="BZ110" s="41">
        <v>28.5</v>
      </c>
      <c r="CA110" s="41">
        <v>3.7</v>
      </c>
      <c r="CB110" s="41">
        <v>32.299999999999997</v>
      </c>
      <c r="CC110" s="41">
        <v>38.9</v>
      </c>
    </row>
    <row r="111" spans="1:81" s="4" customFormat="1" ht="12.75" customHeight="1" x14ac:dyDescent="0.5">
      <c r="C111" s="28" t="s">
        <v>166</v>
      </c>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v>10.199999999999999</v>
      </c>
      <c r="BG111" s="41">
        <v>10</v>
      </c>
      <c r="BH111" s="41">
        <v>8.52</v>
      </c>
      <c r="BI111" s="41">
        <v>8.1</v>
      </c>
      <c r="BJ111" s="41">
        <v>8.870000000000001</v>
      </c>
      <c r="BK111" s="41">
        <v>9</v>
      </c>
      <c r="BL111" s="41"/>
      <c r="BM111" s="41"/>
      <c r="BN111" s="41"/>
      <c r="BO111" s="41"/>
      <c r="BP111" s="41"/>
      <c r="BQ111" s="41"/>
      <c r="BR111" s="41"/>
      <c r="BS111" s="41"/>
      <c r="BT111" s="41"/>
      <c r="BU111" s="41"/>
      <c r="BV111" s="41"/>
      <c r="BW111" s="41"/>
      <c r="BX111" s="41"/>
      <c r="BY111" s="41"/>
      <c r="BZ111" s="41"/>
      <c r="CA111" s="41"/>
      <c r="CB111" s="41"/>
      <c r="CC111" s="41"/>
    </row>
    <row r="112" spans="1:81" s="4" customFormat="1" ht="12.75" customHeight="1" x14ac:dyDescent="0.5">
      <c r="C112" s="28" t="s">
        <v>167</v>
      </c>
      <c r="Z112" s="41"/>
      <c r="AA112" s="41"/>
      <c r="AB112" s="41"/>
      <c r="AC112" s="41"/>
      <c r="AD112" s="41"/>
      <c r="AE112" s="41"/>
      <c r="AF112" s="41">
        <v>2.16</v>
      </c>
      <c r="AG112" s="149">
        <v>2.3849999999999998</v>
      </c>
      <c r="AH112" s="149">
        <v>2.4750000000000001</v>
      </c>
      <c r="AI112" s="149">
        <v>2.6550000000000002</v>
      </c>
      <c r="AJ112" s="149">
        <v>2.9699999999999998</v>
      </c>
      <c r="AK112" s="149">
        <v>3.24</v>
      </c>
      <c r="AL112" s="149">
        <v>3.645</v>
      </c>
      <c r="AM112" s="149">
        <v>3.87</v>
      </c>
      <c r="AN112" s="149">
        <v>3.9149999999999996</v>
      </c>
      <c r="AO112" s="149">
        <v>4.0049999999999999</v>
      </c>
      <c r="AP112" s="149">
        <v>4.0049999999999999</v>
      </c>
      <c r="AQ112" s="149">
        <v>4.1399999999999997</v>
      </c>
      <c r="AR112" s="149">
        <v>4.1399999999999997</v>
      </c>
      <c r="AS112" s="149">
        <v>4.0049999999999999</v>
      </c>
      <c r="AT112" s="149">
        <v>4.05</v>
      </c>
      <c r="AU112" s="149">
        <v>4.4550000000000001</v>
      </c>
      <c r="AV112" s="149">
        <v>5.4450000000000003</v>
      </c>
      <c r="AW112" s="149">
        <v>5.67</v>
      </c>
      <c r="AX112" s="149">
        <v>5.13</v>
      </c>
      <c r="AY112" s="149">
        <v>5.0850000000000009</v>
      </c>
      <c r="AZ112" s="149">
        <v>6.9300000000000006</v>
      </c>
      <c r="BA112" s="149">
        <v>7.11</v>
      </c>
      <c r="BB112" s="149">
        <v>7.02</v>
      </c>
      <c r="BC112" s="149">
        <v>8.01</v>
      </c>
      <c r="BD112" s="149">
        <v>8.2799999999999994</v>
      </c>
      <c r="BE112" s="149">
        <v>9.0450000000000017</v>
      </c>
      <c r="BF112" s="41">
        <v>10.600000000000001</v>
      </c>
      <c r="BG112" s="41">
        <v>10.199999999999999</v>
      </c>
      <c r="BH112" s="41">
        <v>11.75</v>
      </c>
      <c r="BI112" s="41">
        <v>8.3000000000000007</v>
      </c>
      <c r="BJ112" s="41">
        <v>8.6</v>
      </c>
      <c r="BK112" s="41">
        <v>8.8000000000000007</v>
      </c>
      <c r="BL112" s="41">
        <v>9.9</v>
      </c>
      <c r="BM112" s="41">
        <v>9.9</v>
      </c>
      <c r="BN112" s="41">
        <v>9.4</v>
      </c>
      <c r="BO112" s="41">
        <v>0.4</v>
      </c>
      <c r="BP112" s="41">
        <f>(0.39+6.7)</f>
        <v>7.09</v>
      </c>
      <c r="BQ112" s="41">
        <f>7.9+0.5</f>
        <v>8.4</v>
      </c>
      <c r="BR112" s="41">
        <v>7.8</v>
      </c>
      <c r="BS112" s="41">
        <v>10.4</v>
      </c>
      <c r="BT112" s="41">
        <v>11</v>
      </c>
      <c r="BU112" s="41">
        <v>9.3000000000000007</v>
      </c>
      <c r="BV112" s="41">
        <v>9.6</v>
      </c>
      <c r="BW112" s="41">
        <v>11</v>
      </c>
      <c r="BX112" s="41">
        <v>9.6999999999999993</v>
      </c>
      <c r="BY112" s="41">
        <v>8.8000000000000007</v>
      </c>
      <c r="BZ112" s="41">
        <v>9</v>
      </c>
      <c r="CA112" s="41">
        <v>9.8000000000000007</v>
      </c>
      <c r="CB112" s="41">
        <v>9.3000000000000007</v>
      </c>
      <c r="CC112" s="41"/>
    </row>
    <row r="113" spans="1:81" s="4" customFormat="1" ht="12.75" customHeight="1" x14ac:dyDescent="0.5">
      <c r="A113" s="26" t="s">
        <v>187</v>
      </c>
      <c r="B113" s="4" t="s">
        <v>395</v>
      </c>
      <c r="C113" s="29" t="s">
        <v>401</v>
      </c>
      <c r="Z113" s="41"/>
      <c r="AA113" s="41"/>
      <c r="AB113" s="41"/>
      <c r="AC113" s="41">
        <f t="shared" ref="AC113:BC113" si="21">AC114+AC115+AC116+AC117+AC118+AC120</f>
        <v>0.40200000000000002</v>
      </c>
      <c r="AD113" s="41">
        <f>AD114+AD115+AD116+AD117+AD118+AD120</f>
        <v>0.56000000000000005</v>
      </c>
      <c r="AE113" s="41">
        <f t="shared" si="21"/>
        <v>0.47</v>
      </c>
      <c r="AF113" s="41">
        <f t="shared" si="21"/>
        <v>0.53600000000000003</v>
      </c>
      <c r="AG113" s="41">
        <f t="shared" si="21"/>
        <v>0.63</v>
      </c>
      <c r="AH113" s="41">
        <f t="shared" si="21"/>
        <v>0.82</v>
      </c>
      <c r="AI113" s="41">
        <f t="shared" si="21"/>
        <v>1.01</v>
      </c>
      <c r="AJ113" s="41">
        <f t="shared" si="21"/>
        <v>3.1</v>
      </c>
      <c r="AK113" s="41">
        <f t="shared" si="21"/>
        <v>3.49</v>
      </c>
      <c r="AL113" s="41">
        <f t="shared" si="21"/>
        <v>4.78</v>
      </c>
      <c r="AM113" s="41">
        <f t="shared" si="21"/>
        <v>5.26</v>
      </c>
      <c r="AN113" s="41">
        <f t="shared" si="21"/>
        <v>5.7</v>
      </c>
      <c r="AO113" s="41">
        <f t="shared" si="21"/>
        <v>6.53</v>
      </c>
      <c r="AP113" s="41">
        <f t="shared" si="21"/>
        <v>8.3000000000000007</v>
      </c>
      <c r="AQ113" s="41">
        <f t="shared" si="21"/>
        <v>8.91</v>
      </c>
      <c r="AR113" s="41">
        <f t="shared" si="21"/>
        <v>9.6999999999999993</v>
      </c>
      <c r="AS113" s="41">
        <f t="shared" si="21"/>
        <v>9.4853455357602563</v>
      </c>
      <c r="AT113" s="41">
        <f t="shared" si="21"/>
        <v>9.7997958971132704</v>
      </c>
      <c r="AU113" s="41">
        <f t="shared" si="21"/>
        <v>12.054322404331813</v>
      </c>
      <c r="AV113" s="41">
        <f t="shared" si="21"/>
        <v>13.29</v>
      </c>
      <c r="AW113" s="41">
        <f t="shared" si="21"/>
        <v>14.56</v>
      </c>
      <c r="AX113" s="41">
        <f t="shared" si="21"/>
        <v>15.2</v>
      </c>
      <c r="AY113" s="41">
        <f t="shared" si="21"/>
        <v>4.9000000000000004</v>
      </c>
      <c r="AZ113" s="41">
        <f t="shared" si="21"/>
        <v>7.5</v>
      </c>
      <c r="BA113" s="41">
        <f t="shared" si="21"/>
        <v>15.7</v>
      </c>
      <c r="BB113" s="41">
        <f t="shared" si="21"/>
        <v>16.600000000000001</v>
      </c>
      <c r="BC113" s="41">
        <f t="shared" si="21"/>
        <v>15.099999999999998</v>
      </c>
      <c r="BD113" s="41">
        <f t="shared" ref="BD113:CC113" si="22">BD114+BD116+BD117+BD118+BD120</f>
        <v>21.4</v>
      </c>
      <c r="BE113" s="41">
        <f t="shared" si="22"/>
        <v>27.900000000000002</v>
      </c>
      <c r="BF113" s="41">
        <f t="shared" si="22"/>
        <v>32.700000000000003</v>
      </c>
      <c r="BG113" s="41">
        <f t="shared" si="22"/>
        <v>46</v>
      </c>
      <c r="BH113" s="41">
        <f t="shared" si="22"/>
        <v>49.800000000000004</v>
      </c>
      <c r="BI113" s="41">
        <f t="shared" si="22"/>
        <v>49.400000000000006</v>
      </c>
      <c r="BJ113" s="41">
        <f t="shared" si="22"/>
        <v>49.6</v>
      </c>
      <c r="BK113" s="41">
        <f t="shared" si="22"/>
        <v>49.2</v>
      </c>
      <c r="BL113" s="41">
        <f t="shared" si="22"/>
        <v>51.8</v>
      </c>
      <c r="BM113" s="41">
        <f t="shared" si="22"/>
        <v>52.7</v>
      </c>
      <c r="BN113" s="41">
        <f t="shared" si="22"/>
        <v>50.699999999999996</v>
      </c>
      <c r="BO113" s="41">
        <f t="shared" si="22"/>
        <v>54.5</v>
      </c>
      <c r="BP113" s="41">
        <f t="shared" si="22"/>
        <v>54.6</v>
      </c>
      <c r="BQ113" s="41">
        <f t="shared" si="22"/>
        <v>69.600000000000009</v>
      </c>
      <c r="BR113" s="41">
        <f t="shared" si="22"/>
        <v>82.5</v>
      </c>
      <c r="BS113" s="41">
        <f t="shared" si="22"/>
        <v>93.2</v>
      </c>
      <c r="BT113" s="41">
        <f t="shared" si="22"/>
        <v>96.8</v>
      </c>
      <c r="BU113" s="41">
        <f t="shared" si="22"/>
        <v>109.3</v>
      </c>
      <c r="BV113" s="41">
        <f t="shared" si="22"/>
        <v>113.69999999999999</v>
      </c>
      <c r="BW113" s="41">
        <f t="shared" si="22"/>
        <v>131.19999999999999</v>
      </c>
      <c r="BX113" s="41">
        <f t="shared" si="22"/>
        <v>137.1</v>
      </c>
      <c r="BY113" s="41">
        <f t="shared" si="22"/>
        <v>142.5</v>
      </c>
      <c r="BZ113" s="41">
        <f t="shared" si="22"/>
        <v>162.9</v>
      </c>
      <c r="CA113" s="41">
        <f t="shared" si="22"/>
        <v>192.8</v>
      </c>
      <c r="CB113" s="41">
        <f t="shared" si="22"/>
        <v>202.3</v>
      </c>
      <c r="CC113" s="41">
        <f t="shared" si="22"/>
        <v>253.39999999999998</v>
      </c>
    </row>
    <row r="114" spans="1:81" s="4" customFormat="1" ht="12.75" customHeight="1" x14ac:dyDescent="0.5">
      <c r="C114" s="28" t="s">
        <v>168</v>
      </c>
      <c r="Z114" s="41"/>
      <c r="AA114" s="41"/>
      <c r="AB114" s="41"/>
      <c r="AC114" s="41"/>
      <c r="AD114" s="41"/>
      <c r="AE114" s="41"/>
      <c r="AF114" s="41"/>
      <c r="AG114" s="41"/>
      <c r="AH114" s="41"/>
      <c r="AI114" s="41"/>
      <c r="AJ114" s="41">
        <v>1.8</v>
      </c>
      <c r="AK114" s="41">
        <v>2</v>
      </c>
      <c r="AL114" s="41">
        <v>2.9</v>
      </c>
      <c r="AM114" s="41">
        <v>2.8</v>
      </c>
      <c r="AN114" s="41">
        <v>2.6</v>
      </c>
      <c r="AO114" s="41">
        <v>2.7</v>
      </c>
      <c r="AP114" s="41">
        <v>2.5</v>
      </c>
      <c r="AQ114" s="41">
        <v>1.9</v>
      </c>
      <c r="AR114" s="41">
        <v>1.7</v>
      </c>
      <c r="AS114" s="41">
        <v>1.7</v>
      </c>
      <c r="AT114" s="41">
        <v>1.8</v>
      </c>
      <c r="AU114" s="41">
        <v>2.4</v>
      </c>
      <c r="AV114" s="41">
        <v>2.5</v>
      </c>
      <c r="AW114" s="41">
        <v>2.5</v>
      </c>
      <c r="AX114" s="41">
        <v>2.7</v>
      </c>
      <c r="AY114" s="41">
        <v>3.7</v>
      </c>
      <c r="AZ114" s="41">
        <v>4</v>
      </c>
      <c r="BA114" s="41">
        <v>3.2</v>
      </c>
      <c r="BB114" s="41">
        <v>3.6</v>
      </c>
      <c r="BC114" s="41">
        <v>4</v>
      </c>
      <c r="BD114" s="41">
        <v>3.5</v>
      </c>
      <c r="BE114" s="41">
        <v>3.3</v>
      </c>
      <c r="BF114" s="41">
        <v>3.6</v>
      </c>
      <c r="BG114" s="41">
        <v>4.7</v>
      </c>
      <c r="BH114" s="41">
        <v>5.9</v>
      </c>
      <c r="BI114" s="41">
        <v>5.9</v>
      </c>
      <c r="BJ114" s="41">
        <v>5.4</v>
      </c>
      <c r="BK114" s="41">
        <v>4.5</v>
      </c>
      <c r="BL114" s="41">
        <v>4.5</v>
      </c>
      <c r="BM114" s="41">
        <v>4.5</v>
      </c>
      <c r="BN114" s="41">
        <v>5</v>
      </c>
      <c r="BO114" s="41">
        <v>4.5</v>
      </c>
      <c r="BP114" s="41">
        <v>4.2</v>
      </c>
      <c r="BQ114" s="41">
        <v>5.9</v>
      </c>
      <c r="BR114" s="41">
        <v>6.6</v>
      </c>
      <c r="BS114" s="41">
        <v>6.5</v>
      </c>
      <c r="BT114" s="41">
        <v>7.2</v>
      </c>
      <c r="BU114" s="41">
        <v>8.4</v>
      </c>
      <c r="BV114" s="41">
        <v>9.6999999999999993</v>
      </c>
      <c r="BW114" s="41">
        <v>9.9</v>
      </c>
      <c r="BX114" s="41">
        <v>9.9</v>
      </c>
      <c r="BY114" s="41">
        <v>10.1</v>
      </c>
      <c r="BZ114" s="41">
        <v>10.199999999999999</v>
      </c>
      <c r="CA114" s="41">
        <v>4.3</v>
      </c>
      <c r="CB114" s="41">
        <v>6.9</v>
      </c>
      <c r="CC114" s="41">
        <v>7</v>
      </c>
    </row>
    <row r="115" spans="1:81" s="4" customFormat="1" ht="12.75" customHeight="1" x14ac:dyDescent="0.5">
      <c r="C115" s="28" t="s">
        <v>169</v>
      </c>
      <c r="Z115" s="41"/>
      <c r="AA115" s="41"/>
      <c r="AB115" s="41"/>
      <c r="AC115" s="41"/>
      <c r="AD115" s="41"/>
      <c r="AE115" s="41"/>
      <c r="AF115" s="41"/>
      <c r="AG115" s="41"/>
      <c r="AH115" s="41"/>
      <c r="AI115" s="41"/>
      <c r="AJ115" s="41"/>
      <c r="AK115" s="41"/>
      <c r="AL115" s="41"/>
      <c r="AM115" s="41"/>
      <c r="AN115" s="41"/>
      <c r="AO115" s="41">
        <v>0.2</v>
      </c>
      <c r="AP115" s="41">
        <v>0.6</v>
      </c>
      <c r="AQ115" s="41">
        <v>1.2</v>
      </c>
      <c r="AR115" s="41">
        <v>1.2</v>
      </c>
      <c r="AS115" s="41">
        <v>1.1000000000000001</v>
      </c>
      <c r="AT115" s="41">
        <v>1.2</v>
      </c>
      <c r="AU115" s="41">
        <v>1.6</v>
      </c>
      <c r="AV115" s="41">
        <v>1.8</v>
      </c>
      <c r="AW115" s="41">
        <v>2.2999999999999998</v>
      </c>
      <c r="AX115" s="41">
        <v>2.2999999999999998</v>
      </c>
      <c r="AY115" s="41">
        <v>0</v>
      </c>
      <c r="AZ115" s="41">
        <v>2.2999999999999998</v>
      </c>
      <c r="BA115" s="41">
        <v>2.4</v>
      </c>
      <c r="BB115" s="41">
        <v>2.6</v>
      </c>
      <c r="BC115" s="41"/>
      <c r="BD115" s="41"/>
      <c r="BE115" s="41"/>
      <c r="BF115" s="41"/>
      <c r="BG115" s="41"/>
      <c r="BH115" s="41"/>
      <c r="BI115" s="41"/>
      <c r="BJ115" s="41"/>
      <c r="BK115" s="41"/>
      <c r="BL115" s="41"/>
      <c r="BM115" s="41"/>
      <c r="BN115" s="41"/>
      <c r="BO115" s="41"/>
      <c r="BP115" s="41"/>
      <c r="BQ115" s="41"/>
      <c r="BR115" s="41"/>
      <c r="BS115" s="41"/>
      <c r="BT115" s="41"/>
      <c r="BU115" s="41"/>
      <c r="BV115" s="41"/>
      <c r="BW115" s="41"/>
      <c r="BX115" s="41"/>
      <c r="BY115" s="41"/>
      <c r="BZ115" s="41"/>
      <c r="CA115" s="41"/>
      <c r="CB115" s="41"/>
      <c r="CC115" s="41"/>
    </row>
    <row r="116" spans="1:81" s="4" customFormat="1" ht="12.75" customHeight="1" x14ac:dyDescent="0.5">
      <c r="C116" s="28" t="s">
        <v>170</v>
      </c>
      <c r="Z116" s="41"/>
      <c r="AA116" s="41"/>
      <c r="AB116" s="41"/>
      <c r="AC116" s="41"/>
      <c r="AD116" s="41"/>
      <c r="AE116" s="41"/>
      <c r="AF116" s="41"/>
      <c r="AG116" s="41"/>
      <c r="AH116" s="41"/>
      <c r="AI116" s="41"/>
      <c r="AJ116" s="41"/>
      <c r="AK116" s="41"/>
      <c r="AL116" s="41"/>
      <c r="AM116" s="41"/>
      <c r="AN116" s="41"/>
      <c r="AO116" s="41"/>
      <c r="AP116" s="41"/>
      <c r="AQ116" s="41"/>
      <c r="AR116" s="41">
        <v>0.8</v>
      </c>
      <c r="AS116" s="150">
        <f>AR116*($AV116/$AR116)^(1/4)</f>
        <v>0.88534553576025721</v>
      </c>
      <c r="AT116" s="150">
        <f>AS116*($AV116/$AR116)^(1/4)</f>
        <v>0.97979589711327109</v>
      </c>
      <c r="AU116" s="150">
        <f>AT116*($AV116/$AR116)^(1/4)</f>
        <v>1.0843224043318136</v>
      </c>
      <c r="AV116" s="41">
        <v>1.2</v>
      </c>
      <c r="AW116" s="150">
        <v>1.2</v>
      </c>
      <c r="AX116" s="41">
        <v>1.2</v>
      </c>
      <c r="AY116" s="150">
        <v>1.2</v>
      </c>
      <c r="AZ116" s="150">
        <v>1.2</v>
      </c>
      <c r="BA116" s="41">
        <v>1.2</v>
      </c>
      <c r="BB116" s="41">
        <v>1.6</v>
      </c>
      <c r="BC116" s="41">
        <v>1.3</v>
      </c>
      <c r="BD116" s="41">
        <v>1.5</v>
      </c>
      <c r="BE116" s="41">
        <v>1.5</v>
      </c>
      <c r="BF116" s="41">
        <v>1.8</v>
      </c>
      <c r="BG116" s="41">
        <v>1.9</v>
      </c>
      <c r="BH116" s="41">
        <v>2.2000000000000002</v>
      </c>
      <c r="BI116" s="41">
        <v>1.9</v>
      </c>
      <c r="BJ116" s="41">
        <v>4.4000000000000004</v>
      </c>
      <c r="BK116" s="41">
        <v>2.8</v>
      </c>
      <c r="BL116" s="41">
        <v>2.9</v>
      </c>
      <c r="BM116" s="41">
        <v>3.3</v>
      </c>
      <c r="BN116" s="41">
        <v>2.8</v>
      </c>
      <c r="BO116" s="41">
        <v>2.9</v>
      </c>
      <c r="BP116" s="41">
        <v>3.4</v>
      </c>
      <c r="BQ116" s="41">
        <v>4.7</v>
      </c>
      <c r="BR116" s="41">
        <v>3.7</v>
      </c>
      <c r="BS116" s="41">
        <v>4</v>
      </c>
      <c r="BT116" s="41">
        <v>5.2</v>
      </c>
      <c r="BU116" s="41">
        <v>4.0999999999999996</v>
      </c>
      <c r="BV116" s="41">
        <v>6</v>
      </c>
      <c r="BW116" s="41">
        <v>6.3</v>
      </c>
      <c r="BX116" s="41">
        <v>6.3</v>
      </c>
      <c r="BY116" s="41">
        <v>6.7</v>
      </c>
      <c r="BZ116" s="41">
        <v>5.8</v>
      </c>
      <c r="CA116" s="41">
        <v>3</v>
      </c>
      <c r="CB116" s="41">
        <v>5.4</v>
      </c>
      <c r="CC116" s="41">
        <v>3.3</v>
      </c>
    </row>
    <row r="117" spans="1:81" s="4" customFormat="1" ht="12.75" customHeight="1" x14ac:dyDescent="0.5">
      <c r="C117" s="28" t="s">
        <v>171</v>
      </c>
      <c r="Z117" s="41"/>
      <c r="AA117" s="41"/>
      <c r="AB117" s="41"/>
      <c r="AC117" s="41"/>
      <c r="AD117" s="41"/>
      <c r="AE117" s="41"/>
      <c r="AF117" s="41"/>
      <c r="AG117" s="41"/>
      <c r="AH117" s="41"/>
      <c r="AI117" s="41"/>
      <c r="AJ117" s="41"/>
      <c r="AK117" s="41"/>
      <c r="AL117" s="41"/>
      <c r="AM117" s="41"/>
      <c r="AN117" s="41"/>
      <c r="AO117" s="41"/>
      <c r="AP117" s="41"/>
      <c r="AQ117" s="41"/>
      <c r="AR117" s="41"/>
      <c r="AS117" s="41"/>
      <c r="AT117" s="41"/>
      <c r="AU117" s="41"/>
      <c r="AV117" s="41"/>
      <c r="AW117" s="41"/>
      <c r="AX117" s="41"/>
      <c r="AY117" s="41"/>
      <c r="AZ117" s="41"/>
      <c r="BA117" s="41"/>
      <c r="BB117" s="41"/>
      <c r="BC117" s="41"/>
      <c r="BD117" s="41"/>
      <c r="BE117" s="41"/>
      <c r="BF117" s="41"/>
      <c r="BG117" s="41"/>
      <c r="BH117" s="41"/>
      <c r="BI117" s="41">
        <v>0.4</v>
      </c>
      <c r="BJ117" s="41">
        <v>0.6</v>
      </c>
      <c r="BK117" s="41">
        <v>0.8</v>
      </c>
      <c r="BL117" s="41">
        <v>0.5</v>
      </c>
      <c r="BM117" s="41">
        <v>0.7</v>
      </c>
      <c r="BN117" s="41">
        <v>0.6</v>
      </c>
      <c r="BO117" s="41">
        <v>1.1000000000000001</v>
      </c>
      <c r="BP117" s="41">
        <v>1.3</v>
      </c>
      <c r="BQ117" s="41">
        <v>1.1000000000000001</v>
      </c>
      <c r="BR117" s="41">
        <v>2</v>
      </c>
      <c r="BS117" s="41">
        <v>2.2000000000000002</v>
      </c>
      <c r="BT117" s="41">
        <v>2.4</v>
      </c>
      <c r="BU117" s="41">
        <v>2.6</v>
      </c>
      <c r="BV117" s="41">
        <v>2.7</v>
      </c>
      <c r="BW117" s="41">
        <v>2.8</v>
      </c>
      <c r="BX117" s="41">
        <v>2.8</v>
      </c>
      <c r="BY117" s="41">
        <v>3</v>
      </c>
      <c r="BZ117" s="41">
        <v>3.2</v>
      </c>
      <c r="CA117" s="41">
        <v>3.6</v>
      </c>
      <c r="CB117" s="41">
        <v>5.2</v>
      </c>
      <c r="CC117" s="41">
        <v>4.4000000000000004</v>
      </c>
    </row>
    <row r="118" spans="1:81" s="4" customFormat="1" ht="12.75" customHeight="1" x14ac:dyDescent="0.5">
      <c r="C118" s="28" t="s">
        <v>172</v>
      </c>
      <c r="Z118" s="41"/>
      <c r="AA118" s="41"/>
      <c r="AB118" s="41"/>
      <c r="AC118" s="41">
        <v>0.40200000000000002</v>
      </c>
      <c r="AD118" s="41">
        <v>0.56000000000000005</v>
      </c>
      <c r="AE118" s="41">
        <v>0.47</v>
      </c>
      <c r="AF118" s="41">
        <v>0.53600000000000003</v>
      </c>
      <c r="AG118" s="41">
        <v>0.63</v>
      </c>
      <c r="AH118" s="41">
        <v>0.82</v>
      </c>
      <c r="AI118" s="41">
        <v>1.01</v>
      </c>
      <c r="AJ118" s="41">
        <v>1.3</v>
      </c>
      <c r="AK118" s="41">
        <v>1.4900000000000002</v>
      </c>
      <c r="AL118" s="41">
        <v>1.8800000000000001</v>
      </c>
      <c r="AM118" s="41">
        <v>2.46</v>
      </c>
      <c r="AN118" s="41">
        <v>3.1</v>
      </c>
      <c r="AO118" s="41">
        <v>3.63</v>
      </c>
      <c r="AP118" s="41">
        <v>5.2</v>
      </c>
      <c r="AQ118" s="41">
        <v>5.8100000000000005</v>
      </c>
      <c r="AR118" s="151">
        <v>6</v>
      </c>
      <c r="AS118" s="41">
        <v>5.8</v>
      </c>
      <c r="AT118" s="41">
        <v>5.8199999999999994</v>
      </c>
      <c r="AU118" s="41">
        <v>6.97</v>
      </c>
      <c r="AV118" s="41">
        <v>7.79</v>
      </c>
      <c r="AW118" s="41">
        <v>8.56</v>
      </c>
      <c r="AX118" s="41">
        <v>9</v>
      </c>
      <c r="AY118" s="41">
        <v>0</v>
      </c>
      <c r="AZ118" s="41">
        <v>0</v>
      </c>
      <c r="BA118" s="41">
        <v>8.9</v>
      </c>
      <c r="BB118" s="41">
        <v>8.8000000000000007</v>
      </c>
      <c r="BC118" s="41">
        <v>9.7999999999999989</v>
      </c>
      <c r="BD118" s="41">
        <v>16.399999999999999</v>
      </c>
      <c r="BE118" s="41">
        <v>23.1</v>
      </c>
      <c r="BF118" s="41">
        <v>27.3</v>
      </c>
      <c r="BG118" s="41">
        <v>39.4</v>
      </c>
      <c r="BH118" s="41">
        <v>41.7</v>
      </c>
      <c r="BI118" s="41">
        <v>41.2</v>
      </c>
      <c r="BJ118" s="41">
        <v>39.200000000000003</v>
      </c>
      <c r="BK118" s="41">
        <v>41.1</v>
      </c>
      <c r="BL118" s="41">
        <v>43.9</v>
      </c>
      <c r="BM118" s="41">
        <v>39</v>
      </c>
      <c r="BN118" s="41">
        <v>37</v>
      </c>
      <c r="BO118" s="41">
        <v>40</v>
      </c>
      <c r="BP118" s="41">
        <v>38.700000000000003</v>
      </c>
      <c r="BQ118" s="41">
        <v>50.7</v>
      </c>
      <c r="BR118" s="41">
        <v>62.7</v>
      </c>
      <c r="BS118" s="41">
        <v>71.8</v>
      </c>
      <c r="BT118" s="41">
        <v>72.5</v>
      </c>
      <c r="BU118" s="41">
        <v>81.5</v>
      </c>
      <c r="BV118" s="41">
        <v>81.7</v>
      </c>
      <c r="BW118" s="170">
        <v>91.3</v>
      </c>
      <c r="BX118" s="41">
        <v>97.1</v>
      </c>
      <c r="BY118" s="41">
        <v>100.7</v>
      </c>
      <c r="BZ118" s="41">
        <v>122.7</v>
      </c>
      <c r="CA118" s="41">
        <v>150.9</v>
      </c>
      <c r="CB118" s="41">
        <v>163.80000000000001</v>
      </c>
      <c r="CC118" s="41">
        <v>200.7</v>
      </c>
    </row>
    <row r="119" spans="1:81" s="4" customFormat="1" ht="12.75" customHeight="1" x14ac:dyDescent="0.5">
      <c r="C119" s="166" t="s">
        <v>173</v>
      </c>
      <c r="Z119" s="41"/>
      <c r="AA119" s="41"/>
      <c r="AB119" s="41"/>
      <c r="AC119" s="41"/>
      <c r="AD119" s="41"/>
      <c r="AE119" s="41"/>
      <c r="AF119" s="41">
        <v>1.4E-2</v>
      </c>
      <c r="AG119" s="41">
        <v>0.04</v>
      </c>
      <c r="AH119" s="41">
        <v>0.06</v>
      </c>
      <c r="AI119" s="41">
        <v>0.05</v>
      </c>
      <c r="AJ119" s="41">
        <v>0.06</v>
      </c>
      <c r="AK119" s="41">
        <v>0.03</v>
      </c>
      <c r="AL119" s="41">
        <v>7.0000000000000007E-2</v>
      </c>
      <c r="AM119" s="41">
        <v>0.1</v>
      </c>
      <c r="AN119" s="41">
        <v>0.2</v>
      </c>
      <c r="AO119" s="41">
        <v>0.06</v>
      </c>
      <c r="AP119" s="41">
        <v>7.0000000000000007E-2</v>
      </c>
      <c r="AQ119" s="41">
        <v>0.36</v>
      </c>
      <c r="AR119" s="41">
        <v>0.44</v>
      </c>
      <c r="AS119" s="41">
        <v>0.59</v>
      </c>
      <c r="AT119" s="41">
        <v>0.47</v>
      </c>
      <c r="AU119" s="41">
        <v>0.67</v>
      </c>
      <c r="AV119" s="41">
        <v>0.75</v>
      </c>
      <c r="AW119" s="41">
        <v>0.86</v>
      </c>
      <c r="AX119" s="41">
        <v>1.5</v>
      </c>
      <c r="AY119" s="41">
        <v>0</v>
      </c>
      <c r="AZ119" s="41">
        <v>0</v>
      </c>
      <c r="BA119" s="41">
        <v>1.8</v>
      </c>
      <c r="BB119" s="41">
        <v>1.4</v>
      </c>
      <c r="BC119" s="41">
        <v>1.2</v>
      </c>
      <c r="BD119" s="41">
        <v>1.3</v>
      </c>
      <c r="BE119" s="41">
        <v>1.3</v>
      </c>
      <c r="BF119" s="41">
        <v>1.6</v>
      </c>
      <c r="BG119" s="41">
        <v>1.6</v>
      </c>
      <c r="BH119" s="41">
        <v>1.7</v>
      </c>
      <c r="BI119" s="41">
        <v>1.6</v>
      </c>
      <c r="BJ119" s="41">
        <v>1.7</v>
      </c>
      <c r="BK119" s="41">
        <v>2.1</v>
      </c>
      <c r="BL119" s="41">
        <v>2.1</v>
      </c>
      <c r="BM119" s="41">
        <v>1.8</v>
      </c>
      <c r="BN119" s="41">
        <v>2.6</v>
      </c>
      <c r="BO119" s="41">
        <v>3.2</v>
      </c>
      <c r="BP119" s="41">
        <v>2.6</v>
      </c>
      <c r="BQ119" s="41">
        <v>2.9</v>
      </c>
      <c r="BR119" s="41">
        <v>3.3</v>
      </c>
      <c r="BS119" s="41">
        <v>8.1</v>
      </c>
      <c r="BT119" s="41">
        <v>5.7</v>
      </c>
      <c r="BU119" s="41">
        <v>8</v>
      </c>
      <c r="BV119" s="41">
        <v>6.9</v>
      </c>
      <c r="BW119" s="41">
        <v>6.7</v>
      </c>
      <c r="BX119" s="41">
        <v>6.8</v>
      </c>
      <c r="BY119" s="41">
        <v>6.9</v>
      </c>
      <c r="BZ119" s="41">
        <v>7.1</v>
      </c>
      <c r="CA119" s="41">
        <v>8.6999999999999993</v>
      </c>
      <c r="CB119" s="41">
        <v>16.2</v>
      </c>
      <c r="CC119" s="41">
        <v>24.4</v>
      </c>
    </row>
    <row r="120" spans="1:81" s="4" customFormat="1" ht="12.75" customHeight="1" x14ac:dyDescent="0.5">
      <c r="C120" s="28" t="s">
        <v>174</v>
      </c>
      <c r="Z120" s="41"/>
      <c r="AA120" s="41"/>
      <c r="AB120" s="41"/>
      <c r="AC120" s="41"/>
      <c r="AD120" s="41"/>
      <c r="AE120" s="41"/>
      <c r="AF120" s="41"/>
      <c r="AG120" s="41"/>
      <c r="AH120" s="41"/>
      <c r="AI120" s="41"/>
      <c r="AJ120" s="41"/>
      <c r="AK120" s="41"/>
      <c r="AL120" s="41"/>
      <c r="AM120" s="41"/>
      <c r="AN120" s="41"/>
      <c r="AO120" s="41"/>
      <c r="AP120" s="41"/>
      <c r="AQ120" s="41"/>
      <c r="AR120" s="41"/>
      <c r="AS120" s="41"/>
      <c r="AT120" s="41"/>
      <c r="AU120" s="41"/>
      <c r="AV120" s="41"/>
      <c r="AW120" s="41"/>
      <c r="AX120" s="41"/>
      <c r="AY120" s="41"/>
      <c r="AZ120" s="41"/>
      <c r="BA120" s="41"/>
      <c r="BB120" s="41"/>
      <c r="BC120" s="41"/>
      <c r="BD120" s="41"/>
      <c r="BE120" s="41"/>
      <c r="BF120" s="41"/>
      <c r="BG120" s="41"/>
      <c r="BH120" s="41"/>
      <c r="BI120" s="41"/>
      <c r="BJ120" s="41"/>
      <c r="BK120" s="41"/>
      <c r="BL120" s="41"/>
      <c r="BM120" s="41">
        <v>5.2</v>
      </c>
      <c r="BN120" s="41">
        <v>5.3</v>
      </c>
      <c r="BO120" s="41">
        <v>6</v>
      </c>
      <c r="BP120" s="41">
        <v>7</v>
      </c>
      <c r="BQ120" s="41">
        <v>7.2</v>
      </c>
      <c r="BR120" s="41">
        <v>7.5</v>
      </c>
      <c r="BS120" s="41">
        <v>8.6999999999999993</v>
      </c>
      <c r="BT120" s="41">
        <v>9.5</v>
      </c>
      <c r="BU120" s="41">
        <v>12.7</v>
      </c>
      <c r="BV120" s="41">
        <v>13.6</v>
      </c>
      <c r="BW120" s="41">
        <v>20.9</v>
      </c>
      <c r="BX120" s="41">
        <v>21</v>
      </c>
      <c r="BY120" s="41">
        <v>22</v>
      </c>
      <c r="BZ120" s="41">
        <v>21</v>
      </c>
      <c r="CA120" s="41">
        <v>31</v>
      </c>
      <c r="CB120" s="41">
        <v>21</v>
      </c>
      <c r="CC120" s="41">
        <v>38</v>
      </c>
    </row>
    <row r="121" spans="1:81" ht="12.75" customHeight="1" x14ac:dyDescent="0.5"/>
    <row r="122" spans="1:81" ht="12.75" customHeight="1" x14ac:dyDescent="0.5">
      <c r="AQ122" s="113"/>
      <c r="BJ122" s="113"/>
      <c r="BV122" s="113"/>
    </row>
  </sheetData>
  <mergeCells count="1">
    <mergeCell ref="B1:B2"/>
  </mergeCells>
  <pageMargins left="0.7" right="0.7" top="0.75" bottom="0.75" header="0.3" footer="0.3"/>
  <pageSetup paperSize="9"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O207"/>
  <sheetViews>
    <sheetView zoomScaleNormal="100" workbookViewId="0">
      <pane xSplit="3" ySplit="2" topLeftCell="D153" activePane="bottomRight" state="frozen"/>
      <selection pane="topRight" activeCell="D1" sqref="D1"/>
      <selection pane="bottomLeft" activeCell="A3" sqref="A3"/>
      <selection pane="bottomRight" activeCell="A153" sqref="A153"/>
    </sheetView>
  </sheetViews>
  <sheetFormatPr defaultColWidth="9.15625" defaultRowHeight="12.9" x14ac:dyDescent="0.5"/>
  <cols>
    <col min="1" max="1" width="9.15625" style="26"/>
    <col min="2" max="2" width="12.68359375" style="26" customWidth="1"/>
    <col min="3" max="3" width="33.83984375" style="26" customWidth="1"/>
    <col min="4" max="9" width="9.15625" style="26" hidden="1" customWidth="1"/>
    <col min="10" max="13" width="9.15625" style="26" customWidth="1"/>
    <col min="14" max="14" width="10" style="26" bestFit="1" customWidth="1"/>
    <col min="15" max="15" width="9.26171875" style="26" bestFit="1" customWidth="1"/>
    <col min="16" max="16" width="9.41796875" style="26" bestFit="1" customWidth="1"/>
    <col min="17" max="17" width="10" style="26" bestFit="1" customWidth="1"/>
    <col min="18" max="18" width="9.41796875" style="26" customWidth="1"/>
    <col min="19" max="20" width="9.41796875" style="26" bestFit="1" customWidth="1"/>
    <col min="21" max="21" width="8.83984375" style="26" customWidth="1"/>
    <col min="22" max="24" width="10" style="26" bestFit="1" customWidth="1"/>
    <col min="25" max="25" width="10.26171875" style="26" customWidth="1"/>
    <col min="26" max="28" width="10" style="26" bestFit="1" customWidth="1"/>
    <col min="29" max="29" width="13.15625" style="26" bestFit="1" customWidth="1"/>
    <col min="30" max="30" width="12" style="26" bestFit="1" customWidth="1"/>
    <col min="31" max="38" width="10.15625" style="26" bestFit="1" customWidth="1"/>
    <col min="39" max="42" width="10.26171875" style="26" bestFit="1" customWidth="1"/>
    <col min="43" max="43" width="10.15625" style="26" bestFit="1" customWidth="1"/>
    <col min="44" max="56" width="14.41796875" style="26" bestFit="1" customWidth="1"/>
    <col min="57" max="69" width="14.26171875" style="26" bestFit="1" customWidth="1"/>
    <col min="70" max="79" width="14.41796875" style="26" bestFit="1" customWidth="1"/>
    <col min="80" max="80" width="13.578125" style="26" bestFit="1" customWidth="1"/>
    <col min="81" max="16384" width="9.15625" style="26"/>
  </cols>
  <sheetData>
    <row r="1" spans="1:82" s="229" customFormat="1" ht="15" customHeight="1" x14ac:dyDescent="0.5">
      <c r="B1" s="230" t="s">
        <v>60</v>
      </c>
      <c r="G1" s="65">
        <v>1942</v>
      </c>
      <c r="H1" s="65">
        <v>1943</v>
      </c>
      <c r="I1" s="65">
        <v>1944</v>
      </c>
      <c r="J1" s="65">
        <v>1945</v>
      </c>
      <c r="K1" s="65">
        <v>1946</v>
      </c>
      <c r="L1" s="65">
        <v>1947</v>
      </c>
      <c r="M1" s="65">
        <v>1948</v>
      </c>
      <c r="N1" s="65">
        <v>1949</v>
      </c>
      <c r="O1" s="65">
        <v>1950</v>
      </c>
      <c r="P1" s="65">
        <v>1951</v>
      </c>
      <c r="Q1" s="65">
        <v>1952</v>
      </c>
      <c r="R1" s="65">
        <v>1953</v>
      </c>
      <c r="S1" s="65">
        <v>1954</v>
      </c>
      <c r="T1" s="65" t="s">
        <v>0</v>
      </c>
      <c r="U1" s="65" t="s">
        <v>1</v>
      </c>
      <c r="V1" s="65" t="s">
        <v>2</v>
      </c>
      <c r="W1" s="65" t="s">
        <v>3</v>
      </c>
      <c r="X1" s="65" t="s">
        <v>4</v>
      </c>
      <c r="Y1" s="65" t="s">
        <v>5</v>
      </c>
      <c r="Z1" s="65" t="s">
        <v>6</v>
      </c>
      <c r="AA1" s="65" t="s">
        <v>7</v>
      </c>
      <c r="AB1" s="65" t="s">
        <v>8</v>
      </c>
      <c r="AC1" s="65" t="s">
        <v>9</v>
      </c>
      <c r="AD1" s="65" t="s">
        <v>10</v>
      </c>
      <c r="AE1" s="65" t="s">
        <v>11</v>
      </c>
      <c r="AF1" s="65" t="s">
        <v>12</v>
      </c>
      <c r="AG1" s="65" t="s">
        <v>13</v>
      </c>
      <c r="AH1" s="65" t="s">
        <v>14</v>
      </c>
      <c r="AI1" s="65" t="s">
        <v>15</v>
      </c>
      <c r="AJ1" s="65" t="s">
        <v>16</v>
      </c>
      <c r="AK1" s="65" t="s">
        <v>17</v>
      </c>
      <c r="AL1" s="65" t="s">
        <v>18</v>
      </c>
      <c r="AM1" s="65" t="s">
        <v>19</v>
      </c>
      <c r="AN1" s="65" t="s">
        <v>20</v>
      </c>
      <c r="AO1" s="65" t="s">
        <v>21</v>
      </c>
      <c r="AP1" s="65" t="s">
        <v>22</v>
      </c>
      <c r="AQ1" s="65" t="s">
        <v>23</v>
      </c>
      <c r="AR1" s="65" t="s">
        <v>24</v>
      </c>
      <c r="AS1" s="65" t="s">
        <v>25</v>
      </c>
      <c r="AT1" s="65" t="s">
        <v>26</v>
      </c>
      <c r="AU1" s="65" t="s">
        <v>27</v>
      </c>
      <c r="AV1" s="65" t="s">
        <v>28</v>
      </c>
      <c r="AW1" s="65" t="s">
        <v>29</v>
      </c>
      <c r="AX1" s="65" t="s">
        <v>30</v>
      </c>
      <c r="AY1" s="65" t="s">
        <v>31</v>
      </c>
      <c r="AZ1" s="65" t="s">
        <v>32</v>
      </c>
      <c r="BA1" s="65" t="s">
        <v>33</v>
      </c>
      <c r="BB1" s="65" t="s">
        <v>34</v>
      </c>
      <c r="BC1" s="65" t="s">
        <v>35</v>
      </c>
      <c r="BD1" s="65" t="s">
        <v>36</v>
      </c>
      <c r="BE1" s="65" t="s">
        <v>37</v>
      </c>
      <c r="BF1" s="65" t="s">
        <v>38</v>
      </c>
      <c r="BG1" s="65" t="s">
        <v>39</v>
      </c>
      <c r="BH1" s="65" t="s">
        <v>40</v>
      </c>
      <c r="BI1" s="65" t="s">
        <v>41</v>
      </c>
      <c r="BJ1" s="65" t="s">
        <v>42</v>
      </c>
      <c r="BK1" s="65" t="s">
        <v>43</v>
      </c>
      <c r="BL1" s="65" t="s">
        <v>44</v>
      </c>
      <c r="BM1" s="65" t="s">
        <v>45</v>
      </c>
      <c r="BN1" s="65" t="s">
        <v>46</v>
      </c>
      <c r="BO1" s="65" t="s">
        <v>47</v>
      </c>
      <c r="BP1" s="65" t="s">
        <v>48</v>
      </c>
      <c r="BQ1" s="65" t="s">
        <v>49</v>
      </c>
      <c r="BR1" s="65" t="s">
        <v>50</v>
      </c>
      <c r="BS1" s="65" t="s">
        <v>51</v>
      </c>
      <c r="BT1" s="65" t="s">
        <v>52</v>
      </c>
      <c r="BU1" s="65" t="s">
        <v>53</v>
      </c>
      <c r="BV1" s="65" t="s">
        <v>54</v>
      </c>
      <c r="BW1" s="65" t="s">
        <v>55</v>
      </c>
      <c r="BX1" s="3" t="s">
        <v>56</v>
      </c>
      <c r="BY1" s="3" t="s">
        <v>57</v>
      </c>
      <c r="BZ1" s="3" t="s">
        <v>58</v>
      </c>
      <c r="CA1" s="3" t="s">
        <v>177</v>
      </c>
      <c r="CB1" s="3" t="s">
        <v>415</v>
      </c>
      <c r="CC1" s="3" t="s">
        <v>416</v>
      </c>
    </row>
    <row r="2" spans="1:82" s="63" customFormat="1" ht="12.75" customHeight="1" x14ac:dyDescent="0.5">
      <c r="A2" s="2" t="s">
        <v>59</v>
      </c>
      <c r="B2" s="230"/>
      <c r="C2" s="2" t="s">
        <v>61</v>
      </c>
      <c r="D2" s="64">
        <v>1939</v>
      </c>
      <c r="E2" s="64">
        <v>1940</v>
      </c>
      <c r="F2" s="64">
        <v>1941</v>
      </c>
      <c r="G2" s="64">
        <v>1942</v>
      </c>
      <c r="H2" s="64">
        <v>1943</v>
      </c>
      <c r="I2" s="64">
        <v>1944</v>
      </c>
      <c r="J2" s="64">
        <v>1945</v>
      </c>
      <c r="K2" s="64">
        <v>1946</v>
      </c>
      <c r="L2" s="64">
        <v>1947</v>
      </c>
      <c r="M2" s="64">
        <v>1948</v>
      </c>
      <c r="N2" s="64">
        <v>1949</v>
      </c>
      <c r="O2" s="64">
        <v>1950</v>
      </c>
      <c r="P2" s="64">
        <v>1951</v>
      </c>
      <c r="Q2" s="64">
        <v>1952</v>
      </c>
      <c r="R2" s="64">
        <v>1953</v>
      </c>
      <c r="S2" s="64">
        <v>1954</v>
      </c>
      <c r="T2" s="64">
        <v>1955</v>
      </c>
      <c r="U2" s="64">
        <v>1956</v>
      </c>
      <c r="V2" s="64">
        <v>1957</v>
      </c>
      <c r="W2" s="64">
        <v>1958</v>
      </c>
      <c r="X2" s="64">
        <v>1959</v>
      </c>
      <c r="Y2" s="64">
        <v>1960</v>
      </c>
      <c r="Z2" s="64">
        <v>1961</v>
      </c>
      <c r="AA2" s="64">
        <v>1962</v>
      </c>
      <c r="AB2" s="64">
        <v>1963</v>
      </c>
      <c r="AC2" s="64">
        <v>1964</v>
      </c>
      <c r="AD2" s="64">
        <v>1965</v>
      </c>
      <c r="AE2" s="64">
        <v>1966</v>
      </c>
      <c r="AF2" s="64">
        <v>1967</v>
      </c>
      <c r="AG2" s="64">
        <v>1968</v>
      </c>
      <c r="AH2" s="64">
        <v>1969</v>
      </c>
      <c r="AI2" s="64">
        <v>1970</v>
      </c>
      <c r="AJ2" s="64">
        <v>1971</v>
      </c>
      <c r="AK2" s="64">
        <v>1972</v>
      </c>
      <c r="AL2" s="64">
        <v>1973</v>
      </c>
      <c r="AM2" s="64">
        <v>1974</v>
      </c>
      <c r="AN2" s="64">
        <v>1975</v>
      </c>
      <c r="AO2" s="64">
        <v>1976</v>
      </c>
      <c r="AP2" s="64">
        <v>1977</v>
      </c>
      <c r="AQ2" s="64">
        <v>1978</v>
      </c>
      <c r="AR2" s="64">
        <v>1979</v>
      </c>
      <c r="AS2" s="64">
        <v>1980</v>
      </c>
      <c r="AT2" s="64">
        <v>1981</v>
      </c>
      <c r="AU2" s="64">
        <v>1982</v>
      </c>
      <c r="AV2" s="64">
        <v>1983</v>
      </c>
      <c r="AW2" s="64">
        <v>1984</v>
      </c>
      <c r="AX2" s="64">
        <v>1985</v>
      </c>
      <c r="AY2" s="64">
        <v>1986</v>
      </c>
      <c r="AZ2" s="64">
        <v>1987</v>
      </c>
      <c r="BA2" s="64">
        <v>1988</v>
      </c>
      <c r="BB2" s="64">
        <v>1989</v>
      </c>
      <c r="BC2" s="64">
        <v>1990</v>
      </c>
      <c r="BD2" s="64">
        <v>1991</v>
      </c>
      <c r="BE2" s="64">
        <v>1992</v>
      </c>
      <c r="BF2" s="64">
        <v>1993</v>
      </c>
      <c r="BG2" s="64">
        <v>1994</v>
      </c>
      <c r="BH2" s="64">
        <v>1995</v>
      </c>
      <c r="BI2" s="64">
        <v>1996</v>
      </c>
      <c r="BJ2" s="64">
        <v>1997</v>
      </c>
      <c r="BK2" s="64">
        <v>1998</v>
      </c>
      <c r="BL2" s="64">
        <v>1999</v>
      </c>
      <c r="BM2" s="64">
        <v>2000</v>
      </c>
      <c r="BN2" s="64">
        <v>2001</v>
      </c>
      <c r="BO2" s="64">
        <v>2002</v>
      </c>
      <c r="BP2" s="64">
        <v>2003</v>
      </c>
      <c r="BQ2" s="64">
        <v>2004</v>
      </c>
      <c r="BR2" s="64">
        <v>2005</v>
      </c>
      <c r="BS2" s="64">
        <v>2006</v>
      </c>
      <c r="BT2" s="64">
        <v>2007</v>
      </c>
      <c r="BU2" s="64">
        <v>2008</v>
      </c>
      <c r="BV2" s="64">
        <v>2009</v>
      </c>
      <c r="BW2" s="64">
        <v>2010</v>
      </c>
      <c r="BX2" s="64">
        <v>2011</v>
      </c>
      <c r="BY2" s="64">
        <v>2012</v>
      </c>
      <c r="BZ2" s="64">
        <v>2013</v>
      </c>
      <c r="CA2" s="64">
        <v>2014</v>
      </c>
      <c r="CB2" s="64">
        <v>2015</v>
      </c>
      <c r="CC2" s="64">
        <v>2016</v>
      </c>
    </row>
    <row r="3" spans="1:82" s="7" customFormat="1" ht="12.75" customHeight="1" x14ac:dyDescent="0.5">
      <c r="A3" s="7" t="s">
        <v>62</v>
      </c>
      <c r="C3" s="8" t="s">
        <v>63</v>
      </c>
      <c r="D3" s="8"/>
      <c r="E3" s="8"/>
      <c r="F3" s="8"/>
      <c r="G3" s="8"/>
      <c r="H3" s="8"/>
      <c r="I3" s="8"/>
      <c r="J3" s="8"/>
      <c r="K3" s="8"/>
      <c r="L3" s="8"/>
      <c r="M3" s="8"/>
      <c r="N3" s="8"/>
      <c r="O3" s="9"/>
      <c r="P3" s="9"/>
      <c r="Q3" s="9"/>
      <c r="R3" s="9"/>
      <c r="S3" s="9"/>
      <c r="T3" s="9"/>
      <c r="U3" s="9"/>
      <c r="V3" s="9"/>
      <c r="W3" s="9"/>
      <c r="X3" s="9"/>
      <c r="Y3" s="9"/>
      <c r="Z3" s="9"/>
      <c r="AA3" s="9"/>
      <c r="AB3" s="9"/>
    </row>
    <row r="4" spans="1:82" s="66" customFormat="1" ht="12.75" customHeight="1" x14ac:dyDescent="0.5">
      <c r="A4" s="10"/>
      <c r="B4" s="10" t="s">
        <v>64</v>
      </c>
      <c r="C4" s="66" t="s">
        <v>178</v>
      </c>
      <c r="D4" s="67">
        <v>6311690.579726588</v>
      </c>
      <c r="E4" s="67">
        <v>6400054.2478427552</v>
      </c>
      <c r="F4" s="67">
        <v>6515255.2243039245</v>
      </c>
      <c r="G4" s="67">
        <v>6632529.8183413958</v>
      </c>
      <c r="H4" s="67">
        <v>6751915.3550715409</v>
      </c>
      <c r="I4" s="67">
        <v>6873449.8314628284</v>
      </c>
      <c r="J4" s="195">
        <v>6997171.9284291593</v>
      </c>
      <c r="K4" s="195">
        <v>7123121.0231408849</v>
      </c>
      <c r="L4" s="195">
        <v>7251337.2015574202</v>
      </c>
      <c r="M4" s="195">
        <v>7381861.271185453</v>
      </c>
      <c r="N4" s="195">
        <v>7514734.7740667928</v>
      </c>
      <c r="O4" s="195">
        <v>7650000.0000000065</v>
      </c>
      <c r="P4" s="195">
        <v>7863336.5413957378</v>
      </c>
      <c r="Q4" s="195">
        <v>8082622.4265685547</v>
      </c>
      <c r="R4" s="195">
        <v>8308023.5656393673</v>
      </c>
      <c r="S4" s="195">
        <v>8539710.4954861309</v>
      </c>
      <c r="T4" s="195">
        <v>8777858.508770816</v>
      </c>
      <c r="U4" s="195">
        <v>9022647.7865645774</v>
      </c>
      <c r="V4" s="195">
        <v>9274263.5346714444</v>
      </c>
      <c r="W4" s="195">
        <v>9532896.1237537153</v>
      </c>
      <c r="X4" s="195">
        <v>9798741.2333650086</v>
      </c>
      <c r="Y4" s="195">
        <v>10072000.00000002</v>
      </c>
      <c r="Z4" s="196">
        <v>10074490</v>
      </c>
      <c r="AA4" s="196">
        <v>10373380</v>
      </c>
      <c r="AB4" s="196">
        <v>10683888</v>
      </c>
      <c r="AC4" s="196">
        <v>11005882</v>
      </c>
      <c r="AD4" s="196">
        <v>11339076</v>
      </c>
      <c r="AE4" s="196">
        <v>11683511</v>
      </c>
      <c r="AF4" s="196">
        <v>12038886</v>
      </c>
      <c r="AG4" s="196">
        <v>12406040</v>
      </c>
      <c r="AH4" s="196">
        <v>12787494</v>
      </c>
      <c r="AI4" s="196">
        <v>13186560</v>
      </c>
      <c r="AJ4" s="196">
        <v>13605504</v>
      </c>
      <c r="AK4" s="196">
        <v>14045757</v>
      </c>
      <c r="AL4" s="196">
        <v>14506496</v>
      </c>
      <c r="AM4" s="196">
        <v>14984973</v>
      </c>
      <c r="AN4" s="196">
        <v>15477155</v>
      </c>
      <c r="AO4" s="196">
        <v>15980265</v>
      </c>
      <c r="AP4" s="196">
        <v>16493435</v>
      </c>
      <c r="AQ4" s="196">
        <v>17018013</v>
      </c>
      <c r="AR4" s="196">
        <v>17556148</v>
      </c>
      <c r="AS4" s="196">
        <v>18110990</v>
      </c>
      <c r="AT4" s="196">
        <v>18684893</v>
      </c>
      <c r="AU4" s="196">
        <v>19279543</v>
      </c>
      <c r="AV4" s="196">
        <v>19894677</v>
      </c>
      <c r="AW4" s="196">
        <v>20528465</v>
      </c>
      <c r="AX4" s="196">
        <v>21178079</v>
      </c>
      <c r="AY4" s="196">
        <v>21842087</v>
      </c>
      <c r="AZ4" s="196">
        <v>22516809</v>
      </c>
      <c r="BA4" s="196">
        <v>23204186</v>
      </c>
      <c r="BB4" s="196">
        <v>23914852</v>
      </c>
      <c r="BC4" s="196">
        <v>24663284</v>
      </c>
      <c r="BD4" s="196">
        <v>25458208</v>
      </c>
      <c r="BE4" s="196">
        <v>26307482</v>
      </c>
      <c r="BF4" s="196">
        <v>27203865</v>
      </c>
      <c r="BG4" s="196">
        <v>28122799</v>
      </c>
      <c r="BH4" s="196">
        <v>29030288</v>
      </c>
      <c r="BI4" s="196">
        <v>29903329</v>
      </c>
      <c r="BJ4" s="196">
        <v>30733937</v>
      </c>
      <c r="BK4" s="196">
        <v>31533781</v>
      </c>
      <c r="BL4" s="196">
        <v>32323953</v>
      </c>
      <c r="BM4" s="196">
        <v>33135281</v>
      </c>
      <c r="BN4" s="196">
        <v>33991590</v>
      </c>
      <c r="BO4" s="196">
        <v>34899062</v>
      </c>
      <c r="BP4" s="196">
        <v>35855480</v>
      </c>
      <c r="BQ4" s="196">
        <v>36866228</v>
      </c>
      <c r="BR4" s="196">
        <v>37935334</v>
      </c>
      <c r="BS4" s="196">
        <v>39065600</v>
      </c>
      <c r="BT4" s="196">
        <v>40260847</v>
      </c>
      <c r="BU4" s="196">
        <v>41522004</v>
      </c>
      <c r="BV4" s="196">
        <v>42844744</v>
      </c>
      <c r="BW4" s="196">
        <v>44222113</v>
      </c>
      <c r="BX4" s="196">
        <v>45648525</v>
      </c>
      <c r="BY4" s="196">
        <v>47122998</v>
      </c>
      <c r="BZ4" s="196">
        <v>48645709</v>
      </c>
      <c r="CA4" s="196">
        <v>50213457</v>
      </c>
      <c r="CB4" s="196">
        <v>51822621</v>
      </c>
    </row>
    <row r="5" spans="1:82" s="66" customFormat="1" ht="12.75" customHeight="1" x14ac:dyDescent="0.5">
      <c r="A5" s="10"/>
      <c r="B5" s="66" t="s">
        <v>179</v>
      </c>
      <c r="C5" s="66" t="s">
        <v>180</v>
      </c>
      <c r="D5" s="67">
        <v>6311690.579726588</v>
      </c>
      <c r="E5" s="67">
        <v>6400054.2478427552</v>
      </c>
      <c r="F5" s="67">
        <v>6515255.2243039245</v>
      </c>
      <c r="G5" s="67">
        <v>6632529.8183413958</v>
      </c>
      <c r="H5" s="67">
        <v>6751915.3550715409</v>
      </c>
      <c r="I5" s="67">
        <v>6873449.8314628284</v>
      </c>
      <c r="J5" s="195">
        <v>6997171.9284291593</v>
      </c>
      <c r="K5" s="195">
        <v>7123121.0231408849</v>
      </c>
      <c r="L5" s="195">
        <v>7251337.2015574202</v>
      </c>
      <c r="M5" s="195">
        <v>7381861.271185453</v>
      </c>
      <c r="N5" s="195">
        <v>7514734.7740667928</v>
      </c>
      <c r="O5" s="195">
        <v>7650000.0000000065</v>
      </c>
      <c r="P5" s="195">
        <v>7863336.5413957378</v>
      </c>
      <c r="Q5" s="195">
        <v>8082622.4265685547</v>
      </c>
      <c r="R5" s="195">
        <v>8308023.5656393673</v>
      </c>
      <c r="S5" s="195">
        <v>8539710.4954861309</v>
      </c>
      <c r="T5" s="195">
        <v>8777858.508770816</v>
      </c>
      <c r="U5" s="195">
        <v>9022647.7865645774</v>
      </c>
      <c r="V5" s="195">
        <v>9274263.5346714444</v>
      </c>
      <c r="W5" s="195">
        <v>9532896.1237537153</v>
      </c>
      <c r="X5" s="195">
        <v>9798741.2333650086</v>
      </c>
      <c r="Y5" s="195">
        <v>10072000.00000002</v>
      </c>
      <c r="Z5" s="196">
        <v>10074490</v>
      </c>
      <c r="AA5" s="196">
        <v>10373284</v>
      </c>
      <c r="AB5" s="196">
        <v>10683653</v>
      </c>
      <c r="AC5" s="196">
        <v>11005491</v>
      </c>
      <c r="AD5" s="196">
        <v>11338544</v>
      </c>
      <c r="AE5" s="196">
        <v>11682873</v>
      </c>
      <c r="AF5" s="196">
        <v>11958654</v>
      </c>
      <c r="AG5" s="196">
        <v>12405366</v>
      </c>
      <c r="AH5" s="196">
        <v>12786833</v>
      </c>
      <c r="AI5" s="196">
        <v>13185844</v>
      </c>
      <c r="AJ5" s="196">
        <v>13604627</v>
      </c>
      <c r="AK5" s="196">
        <v>14044585</v>
      </c>
      <c r="AL5" s="196">
        <v>14504939</v>
      </c>
      <c r="AM5" s="196">
        <v>14983047</v>
      </c>
      <c r="AN5" s="196">
        <v>15475026</v>
      </c>
      <c r="AO5" s="196">
        <v>15978207</v>
      </c>
      <c r="AP5" s="196">
        <v>16491793</v>
      </c>
      <c r="AQ5" s="196">
        <v>17036499</v>
      </c>
      <c r="AR5" s="195">
        <v>17513520.971999999</v>
      </c>
      <c r="AS5" s="195">
        <v>18003899.559216</v>
      </c>
      <c r="AT5" s="195">
        <v>18508008.746874049</v>
      </c>
      <c r="AU5" s="195">
        <v>19026232.991786525</v>
      </c>
      <c r="AV5" s="195">
        <v>19558967.515556548</v>
      </c>
      <c r="AW5" s="195">
        <v>20106618.605992131</v>
      </c>
      <c r="AX5" s="195">
        <v>20669603.926959909</v>
      </c>
      <c r="AY5" s="195">
        <v>21248352.836914789</v>
      </c>
      <c r="AZ5" s="195">
        <v>21892187.508053903</v>
      </c>
      <c r="BA5" s="195">
        <v>22560496.511018027</v>
      </c>
      <c r="BB5" s="195">
        <v>23233692.489412665</v>
      </c>
      <c r="BC5" s="195">
        <v>23960807.126678083</v>
      </c>
      <c r="BD5" s="195">
        <v>24733089.546341557</v>
      </c>
      <c r="BE5" s="195">
        <v>25558173.931361102</v>
      </c>
      <c r="BF5" s="195">
        <v>26429025.524953954</v>
      </c>
      <c r="BG5" s="195">
        <v>27321785.805221044</v>
      </c>
      <c r="BH5" s="195">
        <v>28203427.069968347</v>
      </c>
      <c r="BI5" s="195">
        <v>29051601.50670119</v>
      </c>
      <c r="BJ5" s="195">
        <v>29858551.549764223</v>
      </c>
      <c r="BK5" s="195">
        <v>30635613.834552847</v>
      </c>
      <c r="BL5" s="195">
        <v>31403279.603997886</v>
      </c>
      <c r="BM5" s="195">
        <v>32191498.793481063</v>
      </c>
      <c r="BN5" s="195">
        <v>33023417.802719194</v>
      </c>
      <c r="BO5" s="195">
        <v>33905042.551672369</v>
      </c>
      <c r="BP5" s="195">
        <v>34834219.186482362</v>
      </c>
      <c r="BQ5" s="195">
        <v>35816178.356302388</v>
      </c>
      <c r="BR5" s="195">
        <v>36854833.332824342</v>
      </c>
      <c r="BS5" s="195">
        <v>37952906.307528034</v>
      </c>
      <c r="BT5" s="195">
        <v>39114109.448023871</v>
      </c>
      <c r="BU5" s="195">
        <v>40339345.293885268</v>
      </c>
      <c r="BV5" s="195">
        <v>41624410.089747094</v>
      </c>
      <c r="BW5" s="195">
        <v>42962547.904292203</v>
      </c>
      <c r="BX5" s="195">
        <v>44348331.841872424</v>
      </c>
      <c r="BY5" s="195">
        <v>45780807.872497313</v>
      </c>
      <c r="BZ5" s="195">
        <v>47260147.954729311</v>
      </c>
      <c r="CA5" s="195">
        <v>48783242.261685163</v>
      </c>
      <c r="CB5" s="196"/>
    </row>
    <row r="6" spans="1:82" s="69" customFormat="1" ht="12.75" hidden="1" customHeight="1" x14ac:dyDescent="0.5">
      <c r="A6" s="20"/>
      <c r="B6" s="20" t="s">
        <v>67</v>
      </c>
      <c r="C6" s="69" t="s">
        <v>404</v>
      </c>
      <c r="D6" s="70"/>
      <c r="E6" s="70"/>
      <c r="F6" s="70"/>
      <c r="G6" s="70"/>
      <c r="H6" s="70"/>
      <c r="I6" s="70"/>
      <c r="J6" s="71"/>
      <c r="K6" s="71"/>
      <c r="L6" s="71"/>
      <c r="M6" s="71"/>
      <c r="N6" s="71"/>
      <c r="O6" s="71"/>
      <c r="P6" s="71"/>
      <c r="Q6" s="71"/>
      <c r="R6" s="71"/>
      <c r="S6" s="71"/>
      <c r="T6" s="71"/>
      <c r="U6" s="71"/>
      <c r="V6" s="71"/>
      <c r="W6" s="71"/>
      <c r="X6" s="71"/>
      <c r="Y6" s="167">
        <v>10072000.00000002</v>
      </c>
      <c r="Z6" s="72">
        <v>10074490</v>
      </c>
      <c r="AA6" s="72">
        <v>10373284</v>
      </c>
      <c r="AB6" s="72">
        <v>10683653</v>
      </c>
      <c r="AC6" s="72">
        <v>11005491</v>
      </c>
      <c r="AD6" s="73">
        <v>11338544</v>
      </c>
      <c r="AE6" s="72">
        <v>11682873</v>
      </c>
      <c r="AF6" s="74">
        <v>11958654</v>
      </c>
      <c r="AG6" s="72">
        <v>12405366</v>
      </c>
      <c r="AH6" s="72">
        <v>12786833</v>
      </c>
      <c r="AI6" s="72">
        <v>13185844</v>
      </c>
      <c r="AJ6" s="72">
        <v>13604627</v>
      </c>
      <c r="AK6" s="72">
        <v>14044585</v>
      </c>
      <c r="AL6" s="72">
        <v>14504939</v>
      </c>
      <c r="AM6" s="72">
        <v>14983047</v>
      </c>
      <c r="AN6" s="72">
        <v>15475026</v>
      </c>
      <c r="AO6" s="72">
        <v>15978207</v>
      </c>
      <c r="AP6" s="72">
        <v>16491793</v>
      </c>
      <c r="AQ6" s="74">
        <v>17036499</v>
      </c>
      <c r="AR6" s="73">
        <v>17513520.971999999</v>
      </c>
      <c r="AS6" s="73">
        <v>18003899.559216</v>
      </c>
      <c r="AT6" s="73">
        <v>18508008.746874049</v>
      </c>
      <c r="AU6" s="73">
        <v>19026232.991786525</v>
      </c>
      <c r="AV6" s="73">
        <v>19558967.515556548</v>
      </c>
      <c r="AW6" s="73">
        <v>20106618.605992131</v>
      </c>
      <c r="AX6" s="73">
        <v>20669603.926959909</v>
      </c>
      <c r="AY6" s="73">
        <v>21248352.836914789</v>
      </c>
      <c r="AZ6" s="73">
        <v>21843306.716348402</v>
      </c>
      <c r="BA6" s="75">
        <v>22455193</v>
      </c>
      <c r="BB6" s="73">
        <v>23106393.596999999</v>
      </c>
      <c r="BC6" s="73">
        <v>23776479.011312999</v>
      </c>
      <c r="BD6" s="73">
        <v>24465996.902641073</v>
      </c>
      <c r="BE6" s="73">
        <v>25175510.812817663</v>
      </c>
      <c r="BF6" s="73">
        <v>25905600.626389373</v>
      </c>
      <c r="BG6" s="73">
        <v>26656863.044554662</v>
      </c>
      <c r="BH6" s="73">
        <v>27429912.072846744</v>
      </c>
      <c r="BI6" s="73">
        <v>28225379.522959296</v>
      </c>
      <c r="BJ6" s="73">
        <v>29043915.529125113</v>
      </c>
      <c r="BK6" s="73">
        <v>29886189.07946974</v>
      </c>
      <c r="BL6" s="73">
        <v>30752888.56277436</v>
      </c>
      <c r="BM6" s="73">
        <v>31644722.331094813</v>
      </c>
      <c r="BN6" s="73">
        <v>32562419.278696559</v>
      </c>
      <c r="BO6" s="75">
        <v>33584607</v>
      </c>
      <c r="BP6" s="73">
        <v>34491391.388999999</v>
      </c>
      <c r="BQ6" s="73">
        <v>35422658.956502996</v>
      </c>
      <c r="BR6" s="73">
        <v>36379070.748328574</v>
      </c>
      <c r="BS6" s="73">
        <v>37361305.658533439</v>
      </c>
      <c r="BT6" s="73">
        <v>38370060.911313839</v>
      </c>
      <c r="BU6" s="73">
        <v>39406052.555919312</v>
      </c>
      <c r="BV6" s="73">
        <v>40470015.974929132</v>
      </c>
      <c r="BW6" s="73">
        <v>41562706.406252213</v>
      </c>
      <c r="BX6" s="73">
        <v>42684899.479221016</v>
      </c>
      <c r="BY6" s="75">
        <v>43625354</v>
      </c>
      <c r="BZ6" s="73">
        <v>45021365.328000002</v>
      </c>
      <c r="CA6" s="73">
        <v>46462049.018495999</v>
      </c>
    </row>
    <row r="7" spans="1:82" s="69" customFormat="1" ht="12.75" hidden="1" customHeight="1" x14ac:dyDescent="0.55000000000000004">
      <c r="C7" s="69" t="s">
        <v>181</v>
      </c>
      <c r="AD7" s="76"/>
      <c r="AF7" s="74">
        <v>354815</v>
      </c>
      <c r="AO7" s="76"/>
      <c r="AQ7" s="74">
        <v>476111</v>
      </c>
      <c r="BA7" s="74">
        <v>640685</v>
      </c>
      <c r="BO7" s="74">
        <v>984625</v>
      </c>
      <c r="BY7" s="77"/>
    </row>
    <row r="8" spans="1:82" s="69" customFormat="1" ht="12.75" hidden="1" customHeight="1" x14ac:dyDescent="0.55000000000000004">
      <c r="C8" s="69" t="s">
        <v>182</v>
      </c>
      <c r="AD8" s="76"/>
      <c r="AF8" s="78">
        <v>0.97118480584147326</v>
      </c>
      <c r="AO8" s="76"/>
      <c r="AQ8" s="78">
        <v>0.97281324714020356</v>
      </c>
      <c r="AR8" s="78">
        <v>0.97225976860459684</v>
      </c>
      <c r="AS8" s="78">
        <v>0.97225976860459684</v>
      </c>
      <c r="AT8" s="78">
        <v>0.97225976860459684</v>
      </c>
      <c r="AU8" s="78">
        <v>0.97225976860459684</v>
      </c>
      <c r="AV8" s="78">
        <v>0.97225976860459684</v>
      </c>
      <c r="AW8" s="78">
        <v>0.97225976860459684</v>
      </c>
      <c r="AX8" s="78">
        <v>0.97225976860459684</v>
      </c>
      <c r="AY8" s="78">
        <v>0.97225976860459684</v>
      </c>
      <c r="AZ8" s="78">
        <v>0.97225976860459684</v>
      </c>
      <c r="BA8" s="78">
        <v>0.97225976860459684</v>
      </c>
      <c r="BB8" s="78">
        <v>0.97151730185964214</v>
      </c>
      <c r="BC8" s="78">
        <v>0.97151730185964214</v>
      </c>
      <c r="BD8" s="78">
        <v>0.97151730185964214</v>
      </c>
      <c r="BE8" s="78">
        <v>0.97151730185964214</v>
      </c>
      <c r="BF8" s="78">
        <v>0.97151730185964214</v>
      </c>
      <c r="BG8" s="78">
        <v>0.97151730185964214</v>
      </c>
      <c r="BH8" s="78">
        <v>0.97151730185964214</v>
      </c>
      <c r="BI8" s="78">
        <v>0.97151730185964214</v>
      </c>
      <c r="BJ8" s="78">
        <v>0.97151730185964214</v>
      </c>
      <c r="BK8" s="78">
        <v>0.97151730185964214</v>
      </c>
      <c r="BL8" s="78">
        <v>0.97151730185964214</v>
      </c>
      <c r="BM8" s="78">
        <v>0.97151730185964214</v>
      </c>
      <c r="BN8" s="78">
        <v>0.97151730185964214</v>
      </c>
      <c r="BO8" s="78">
        <v>0.97151730185964214</v>
      </c>
      <c r="BP8" s="78">
        <v>0.97151730185964214</v>
      </c>
      <c r="BQ8" s="78">
        <v>0.97151730185964214</v>
      </c>
      <c r="BR8" s="78">
        <v>0.97151730185964214</v>
      </c>
      <c r="BS8" s="78">
        <v>0.97151730185964214</v>
      </c>
      <c r="BT8" s="78">
        <v>0.97151730185964214</v>
      </c>
      <c r="BU8" s="78">
        <v>0.97151730185964214</v>
      </c>
      <c r="BV8" s="78">
        <v>0.97151730185964214</v>
      </c>
      <c r="BW8" s="78">
        <v>0.97151730185964214</v>
      </c>
      <c r="BX8" s="78">
        <v>0.97151730185964214</v>
      </c>
      <c r="BY8" s="78">
        <v>0.97151730185964214</v>
      </c>
      <c r="BZ8" s="78">
        <v>0.97151730185964214</v>
      </c>
      <c r="CA8" s="78">
        <v>0.97151730185964214</v>
      </c>
    </row>
    <row r="9" spans="1:82" s="66" customFormat="1" ht="12.75" customHeight="1" x14ac:dyDescent="0.5">
      <c r="B9" s="10" t="s">
        <v>67</v>
      </c>
      <c r="C9" s="66" t="s">
        <v>183</v>
      </c>
      <c r="J9" s="79">
        <v>51.816201117873</v>
      </c>
      <c r="K9" s="79">
        <v>51.816201117873</v>
      </c>
      <c r="L9" s="79">
        <v>51.816201117873</v>
      </c>
      <c r="M9" s="79">
        <v>51.816201117873</v>
      </c>
      <c r="N9" s="79">
        <v>51.816201117873</v>
      </c>
      <c r="O9" s="79">
        <v>51.816201117873</v>
      </c>
      <c r="P9" s="79">
        <v>51.816201117873</v>
      </c>
      <c r="Q9" s="79">
        <v>51.816201117873</v>
      </c>
      <c r="R9" s="79">
        <v>51.816201117873</v>
      </c>
      <c r="S9" s="79">
        <v>51.816201117873</v>
      </c>
      <c r="T9" s="79">
        <v>51.816201117873</v>
      </c>
      <c r="U9" s="79">
        <v>51.816201117873</v>
      </c>
      <c r="V9" s="79">
        <v>51.816201117873</v>
      </c>
      <c r="W9" s="79">
        <v>51.816201117873</v>
      </c>
      <c r="X9" s="79">
        <v>51.816201117873</v>
      </c>
      <c r="Y9" s="80">
        <v>51.816201117873</v>
      </c>
      <c r="Z9" s="80">
        <v>51.6480549252028</v>
      </c>
      <c r="AA9" s="80">
        <v>51.608843147738</v>
      </c>
      <c r="AB9" s="80">
        <v>51.645974398053703</v>
      </c>
      <c r="AC9" s="80">
        <v>51.695799551921098</v>
      </c>
      <c r="AD9" s="80">
        <v>51.730331747023598</v>
      </c>
      <c r="AE9" s="80">
        <v>51.563059904379799</v>
      </c>
      <c r="AF9" s="80">
        <v>51.426539008418501</v>
      </c>
      <c r="AG9" s="80">
        <v>51.322495244181503</v>
      </c>
      <c r="AH9" s="80">
        <v>51.264484444768001</v>
      </c>
      <c r="AI9" s="80">
        <v>51.254999447282501</v>
      </c>
      <c r="AJ9" s="80">
        <v>51.080942095182202</v>
      </c>
      <c r="AK9" s="80">
        <v>50.987826419281397</v>
      </c>
      <c r="AL9" s="80">
        <v>50.954960012273602</v>
      </c>
      <c r="AM9" s="80">
        <v>50.961213478833798</v>
      </c>
      <c r="AN9" s="80">
        <v>50.995850193973602</v>
      </c>
      <c r="AO9" s="80">
        <v>50.861564010165303</v>
      </c>
      <c r="AP9" s="80">
        <v>50.785253249013302</v>
      </c>
      <c r="AQ9" s="80">
        <v>50.755877656078098</v>
      </c>
      <c r="AR9" s="80">
        <v>50.766700219038299</v>
      </c>
      <c r="AS9" s="80">
        <v>50.813499440430299</v>
      </c>
      <c r="AT9" s="80">
        <v>50.727576893290497</v>
      </c>
      <c r="AU9" s="80">
        <v>50.710730312434798</v>
      </c>
      <c r="AV9" s="80">
        <v>50.747807982720602</v>
      </c>
      <c r="AW9" s="80">
        <v>50.824718332574001</v>
      </c>
      <c r="AX9" s="80">
        <v>50.933612708346097</v>
      </c>
      <c r="AY9" s="80">
        <v>50.911037172274298</v>
      </c>
      <c r="AZ9" s="80">
        <v>50.942338593562397</v>
      </c>
      <c r="BA9" s="80">
        <v>51.019922682356601</v>
      </c>
      <c r="BB9" s="80">
        <v>51.135331369496399</v>
      </c>
      <c r="BC9" s="80">
        <v>51.277882559526603</v>
      </c>
      <c r="BD9" s="80">
        <v>51.266187315076401</v>
      </c>
      <c r="BE9" s="80">
        <v>51.316627251311502</v>
      </c>
      <c r="BF9" s="80">
        <v>51.416258388789799</v>
      </c>
      <c r="BG9" s="80">
        <v>51.562550809003298</v>
      </c>
      <c r="BH9" s="80">
        <v>51.760046515222399</v>
      </c>
      <c r="BI9" s="80">
        <v>51.764071098343202</v>
      </c>
      <c r="BJ9" s="80">
        <v>51.836203847550003</v>
      </c>
      <c r="BK9" s="80">
        <v>51.955845251971503</v>
      </c>
      <c r="BL9" s="80">
        <v>52.087151456479297</v>
      </c>
      <c r="BM9" s="80">
        <v>52.2013739280805</v>
      </c>
      <c r="BN9" s="80">
        <v>52.207202588997902</v>
      </c>
      <c r="BO9" s="80">
        <v>52.1658167733356</v>
      </c>
      <c r="BP9" s="80">
        <v>52.090075502164197</v>
      </c>
      <c r="BQ9" s="80">
        <v>52.012472066279997</v>
      </c>
      <c r="BR9" s="80">
        <v>51.952989330766698</v>
      </c>
      <c r="BS9" s="80">
        <v>51.855707357572498</v>
      </c>
      <c r="BT9" s="80">
        <v>51.824052133899897</v>
      </c>
      <c r="BU9" s="80">
        <v>51.826576440741498</v>
      </c>
      <c r="BV9" s="80">
        <v>51.821456383144799</v>
      </c>
      <c r="BW9" s="80">
        <v>51.791171784849602</v>
      </c>
      <c r="BX9" s="80">
        <v>51.733943158709899</v>
      </c>
      <c r="BY9" s="80">
        <v>51.661586430984102</v>
      </c>
      <c r="BZ9" s="80">
        <v>51.593675376702301</v>
      </c>
      <c r="CA9" s="80">
        <v>51.566515711353198</v>
      </c>
      <c r="CB9" s="80">
        <v>51.599338475366402</v>
      </c>
    </row>
    <row r="10" spans="1:82" s="7" customFormat="1" ht="12.75" customHeight="1" x14ac:dyDescent="0.5">
      <c r="A10" s="7" t="s">
        <v>62</v>
      </c>
      <c r="B10" s="81" t="s">
        <v>184</v>
      </c>
      <c r="C10" s="8" t="s">
        <v>185</v>
      </c>
      <c r="D10" s="8"/>
      <c r="E10" s="8"/>
      <c r="F10" s="8"/>
      <c r="G10" s="8"/>
      <c r="H10" s="8"/>
      <c r="I10" s="8"/>
      <c r="J10" s="8"/>
      <c r="K10" s="8"/>
      <c r="L10" s="8"/>
      <c r="M10" s="8"/>
      <c r="N10" s="8"/>
      <c r="O10" s="9"/>
      <c r="P10" s="9"/>
      <c r="Q10" s="9"/>
      <c r="R10" s="9"/>
      <c r="S10" s="9"/>
      <c r="T10" s="9"/>
      <c r="U10" s="9"/>
      <c r="V10" s="9"/>
      <c r="W10" s="9"/>
      <c r="X10" s="9"/>
      <c r="Y10" s="9"/>
      <c r="Z10" s="9"/>
      <c r="AA10" s="9"/>
      <c r="AB10" s="9"/>
    </row>
    <row r="11" spans="1:82" ht="12.75" customHeight="1" x14ac:dyDescent="0.5">
      <c r="C11" s="82" t="s">
        <v>405</v>
      </c>
      <c r="BN11" s="55"/>
      <c r="BW11" s="55"/>
    </row>
    <row r="12" spans="1:82" s="66" customFormat="1" ht="12.75" customHeight="1" x14ac:dyDescent="0.55000000000000004">
      <c r="A12" s="66" t="s">
        <v>187</v>
      </c>
      <c r="C12" s="66" t="s">
        <v>70</v>
      </c>
      <c r="J12" s="68"/>
      <c r="K12" s="68"/>
      <c r="L12" s="68"/>
      <c r="M12" s="68"/>
      <c r="N12" s="68">
        <f>N13+N16</f>
        <v>366.79899999999998</v>
      </c>
      <c r="O12" s="68"/>
      <c r="P12" s="68">
        <v>472</v>
      </c>
      <c r="Q12" s="68">
        <v>483.44099999999997</v>
      </c>
      <c r="R12" s="68">
        <v>450.02599999999995</v>
      </c>
      <c r="S12" s="68">
        <v>440.11700000000002</v>
      </c>
      <c r="T12" s="68">
        <v>414.40300000000002</v>
      </c>
      <c r="U12" s="68">
        <v>426.18399999999997</v>
      </c>
      <c r="V12" s="68">
        <v>419.06099999999998</v>
      </c>
      <c r="W12" s="133">
        <v>407</v>
      </c>
      <c r="X12" s="133">
        <v>410</v>
      </c>
      <c r="Y12" s="133">
        <v>407</v>
      </c>
      <c r="Z12" s="68">
        <f>Z13+Z16</f>
        <v>401.20000000000005</v>
      </c>
      <c r="AA12" s="68">
        <f>AA13+AA16</f>
        <v>387</v>
      </c>
      <c r="AB12" s="68">
        <v>341</v>
      </c>
      <c r="AC12" s="68">
        <v>351.3</v>
      </c>
      <c r="AD12" s="68">
        <v>333.70000000000005</v>
      </c>
      <c r="AE12" s="68">
        <v>336.5</v>
      </c>
      <c r="AF12" s="133">
        <v>347</v>
      </c>
      <c r="AG12" s="133">
        <v>352</v>
      </c>
      <c r="AH12" s="68">
        <v>368</v>
      </c>
      <c r="AI12" s="68">
        <v>375.56100000000004</v>
      </c>
      <c r="AJ12" s="68">
        <v>392.80799999999999</v>
      </c>
      <c r="AK12" s="68">
        <v>405</v>
      </c>
      <c r="AL12" s="68">
        <v>472.83499999999992</v>
      </c>
      <c r="AM12" s="68">
        <v>484.33100000000002</v>
      </c>
      <c r="AN12" s="68">
        <v>470.8</v>
      </c>
      <c r="AO12" s="68">
        <v>480.72300000000001</v>
      </c>
      <c r="AP12" s="68">
        <v>479</v>
      </c>
      <c r="AQ12" s="68">
        <v>506</v>
      </c>
      <c r="AR12" s="68">
        <v>599.70000000000005</v>
      </c>
      <c r="AS12" s="68">
        <v>603.09999999999991</v>
      </c>
      <c r="AT12" s="68">
        <v>621.87</v>
      </c>
      <c r="AU12" s="68">
        <v>632.79999999999995</v>
      </c>
      <c r="AV12" s="68">
        <v>633.1</v>
      </c>
      <c r="AW12" s="68">
        <v>658.7</v>
      </c>
      <c r="AX12" s="68">
        <v>697</v>
      </c>
      <c r="AY12" s="68">
        <v>682</v>
      </c>
      <c r="AZ12" s="68">
        <v>700</v>
      </c>
      <c r="BA12" s="68">
        <v>704</v>
      </c>
      <c r="BB12" s="68">
        <v>712</v>
      </c>
      <c r="BC12" s="68"/>
      <c r="BD12" s="68"/>
      <c r="BE12" s="68"/>
      <c r="BF12" s="68"/>
      <c r="BG12" s="68"/>
      <c r="BH12" s="68"/>
      <c r="BI12" s="68"/>
      <c r="BJ12" s="68"/>
      <c r="BK12" s="68"/>
      <c r="BL12" s="68"/>
      <c r="BM12" s="68"/>
      <c r="BN12" s="68">
        <v>819</v>
      </c>
      <c r="BO12" s="68">
        <v>925.59999999999991</v>
      </c>
      <c r="BP12" s="68"/>
      <c r="BQ12" s="68"/>
      <c r="BR12" s="68">
        <v>1024.3</v>
      </c>
      <c r="BS12" s="68">
        <v>1085.2</v>
      </c>
      <c r="BT12" s="68">
        <v>1163.4000000000001</v>
      </c>
      <c r="BU12" s="68"/>
      <c r="BV12" s="68"/>
      <c r="BW12" s="68">
        <v>1277</v>
      </c>
      <c r="BX12" s="68">
        <v>1362.6</v>
      </c>
      <c r="BY12" s="68">
        <v>1550</v>
      </c>
      <c r="BZ12" s="68">
        <v>1859</v>
      </c>
      <c r="CA12" s="68">
        <v>2141.4</v>
      </c>
      <c r="CB12" s="68"/>
      <c r="CC12" s="68"/>
      <c r="CD12" s="68"/>
    </row>
    <row r="13" spans="1:82" s="30" customFormat="1" ht="12.75" customHeight="1" x14ac:dyDescent="0.55000000000000004">
      <c r="C13" s="84" t="s">
        <v>71</v>
      </c>
      <c r="I13" s="66"/>
      <c r="J13" s="68"/>
      <c r="K13" s="68"/>
      <c r="L13" s="68"/>
      <c r="M13" s="59"/>
      <c r="N13" s="59">
        <v>291.69899999999996</v>
      </c>
      <c r="O13" s="59"/>
      <c r="P13" s="59">
        <v>379</v>
      </c>
      <c r="Q13" s="59">
        <v>388.74099999999999</v>
      </c>
      <c r="R13" s="59">
        <v>341.82599999999996</v>
      </c>
      <c r="S13" s="68">
        <v>334.31700000000001</v>
      </c>
      <c r="T13" s="68">
        <v>309.803</v>
      </c>
      <c r="U13" s="68">
        <v>318.68399999999997</v>
      </c>
      <c r="V13" s="59">
        <v>319.661</v>
      </c>
      <c r="W13" s="59"/>
      <c r="X13" s="59"/>
      <c r="Y13" s="59"/>
      <c r="Z13" s="59">
        <v>297.20000000000005</v>
      </c>
      <c r="AA13" s="59">
        <v>286</v>
      </c>
      <c r="AB13" s="59">
        <v>245.8</v>
      </c>
      <c r="AC13" s="59">
        <v>247.5</v>
      </c>
      <c r="AD13" s="59">
        <v>226.3</v>
      </c>
      <c r="AE13" s="59">
        <v>222</v>
      </c>
      <c r="AF13" s="173">
        <v>220.5</v>
      </c>
      <c r="AG13" s="173">
        <v>142.24100000000001</v>
      </c>
      <c r="AH13" s="59">
        <v>144</v>
      </c>
      <c r="AI13" s="59">
        <v>141.4</v>
      </c>
      <c r="AJ13" s="59">
        <v>143.5</v>
      </c>
      <c r="AK13" s="59">
        <v>150.69999999999999</v>
      </c>
      <c r="AL13" s="59">
        <v>149</v>
      </c>
      <c r="AM13" s="59">
        <v>144.80000000000001</v>
      </c>
      <c r="AN13" s="59">
        <v>147.69999999999999</v>
      </c>
      <c r="AO13" s="68">
        <v>151.30000000000001</v>
      </c>
      <c r="AP13" s="68">
        <v>147.4</v>
      </c>
      <c r="AQ13" s="68">
        <v>137.6</v>
      </c>
      <c r="AR13" s="68">
        <v>165.5</v>
      </c>
      <c r="AS13" s="68">
        <v>160.69999999999999</v>
      </c>
      <c r="AT13" s="174">
        <f>177.27-AT30</f>
        <v>162.27000000000001</v>
      </c>
      <c r="AU13" s="174">
        <f>166.4-AU30</f>
        <v>151.4</v>
      </c>
      <c r="AV13" s="174">
        <f>156-AV30</f>
        <v>141</v>
      </c>
      <c r="AW13" s="174">
        <f>171-AW30</f>
        <v>156</v>
      </c>
      <c r="AX13" s="59"/>
      <c r="AY13" s="59"/>
      <c r="AZ13" s="59"/>
      <c r="BA13" s="59"/>
      <c r="BB13" s="59"/>
      <c r="BC13" s="59"/>
      <c r="BD13" s="59"/>
      <c r="BE13" s="59"/>
      <c r="BF13" s="59"/>
      <c r="BG13" s="59"/>
      <c r="BH13" s="59"/>
      <c r="BI13" s="59"/>
      <c r="BJ13" s="59"/>
      <c r="BK13" s="59"/>
      <c r="BL13" s="59"/>
      <c r="BM13" s="175"/>
      <c r="BN13" s="59">
        <v>419</v>
      </c>
      <c r="BO13" s="59">
        <v>478</v>
      </c>
      <c r="BP13" s="59"/>
      <c r="BQ13" s="59"/>
      <c r="BR13" s="59">
        <v>562.34069999999997</v>
      </c>
      <c r="BS13" s="59">
        <v>597.20000000000005</v>
      </c>
      <c r="BT13" s="59">
        <v>621.25559999999996</v>
      </c>
      <c r="BU13" s="59"/>
      <c r="BV13" s="59"/>
      <c r="BW13" s="59">
        <v>665.31700000000001</v>
      </c>
      <c r="BX13" s="59">
        <v>708.55200000000002</v>
      </c>
      <c r="BY13" s="59">
        <v>781.2</v>
      </c>
      <c r="BZ13" s="106">
        <v>994.56500000000005</v>
      </c>
      <c r="CA13" s="106">
        <v>1188.2550000000001</v>
      </c>
      <c r="CB13" s="59"/>
      <c r="CC13" s="59"/>
      <c r="CD13" s="59"/>
    </row>
    <row r="14" spans="1:82" s="88" customFormat="1" ht="12.75" customHeight="1" x14ac:dyDescent="0.55000000000000004">
      <c r="A14" s="87"/>
      <c r="C14" s="89" t="s">
        <v>188</v>
      </c>
      <c r="I14" s="146"/>
      <c r="J14" s="133">
        <v>277.39999999999998</v>
      </c>
      <c r="K14" s="176"/>
      <c r="L14" s="133">
        <v>261</v>
      </c>
      <c r="M14" s="106"/>
      <c r="N14" s="59">
        <v>278.09999999999997</v>
      </c>
      <c r="O14" s="106"/>
      <c r="P14" s="59">
        <v>367</v>
      </c>
      <c r="Q14" s="59">
        <v>354.07799999999997</v>
      </c>
      <c r="R14" s="59">
        <v>307.62599999999998</v>
      </c>
      <c r="S14" s="59">
        <v>300.11700000000002</v>
      </c>
      <c r="T14" s="59">
        <v>275.60300000000001</v>
      </c>
      <c r="U14" s="59">
        <v>284.48399999999998</v>
      </c>
      <c r="V14" s="59">
        <v>286.15100000000001</v>
      </c>
      <c r="W14" s="59">
        <v>292.3</v>
      </c>
      <c r="X14" s="106">
        <v>298.7</v>
      </c>
      <c r="Y14" s="106">
        <v>271.3</v>
      </c>
      <c r="Z14" s="68">
        <v>284.10000000000002</v>
      </c>
      <c r="AA14" s="68">
        <v>272.7</v>
      </c>
      <c r="AB14" s="106">
        <v>201.9</v>
      </c>
      <c r="AC14" s="106">
        <v>208.8</v>
      </c>
      <c r="AD14" s="106">
        <v>200.8</v>
      </c>
      <c r="AE14" s="106">
        <v>201.7</v>
      </c>
      <c r="AF14" s="177"/>
      <c r="AG14" s="177"/>
      <c r="AH14" s="106">
        <v>135.30000000000001</v>
      </c>
      <c r="AI14" s="106">
        <v>133.70000000000002</v>
      </c>
      <c r="AJ14" s="106">
        <v>136.5</v>
      </c>
      <c r="AK14" s="106">
        <v>144.19999999999999</v>
      </c>
      <c r="AL14" s="106">
        <f>AL13-AL15</f>
        <v>144</v>
      </c>
      <c r="AM14" s="106">
        <f>AM13-AM15</f>
        <v>139.60000000000002</v>
      </c>
      <c r="AN14" s="106">
        <f>AN13-AN15</f>
        <v>143.69999999999999</v>
      </c>
      <c r="AO14" s="106">
        <v>144.60000000000002</v>
      </c>
      <c r="AP14" s="106">
        <v>141.70000000000002</v>
      </c>
      <c r="AQ14" s="106">
        <v>132</v>
      </c>
      <c r="AR14" s="106">
        <v>162.69999999999999</v>
      </c>
      <c r="AS14" s="106"/>
      <c r="AT14" s="106"/>
      <c r="AU14" s="106"/>
      <c r="AV14" s="106"/>
      <c r="AW14" s="106"/>
      <c r="AX14" s="106"/>
      <c r="AY14" s="106"/>
      <c r="AZ14" s="106"/>
      <c r="BA14" s="106"/>
      <c r="BB14" s="106"/>
      <c r="BC14" s="106"/>
      <c r="BD14" s="106"/>
      <c r="BE14" s="106"/>
      <c r="BF14" s="106"/>
      <c r="BG14" s="106"/>
      <c r="BH14" s="106"/>
      <c r="BI14" s="106"/>
      <c r="BJ14" s="106"/>
      <c r="BK14" s="106"/>
      <c r="BL14" s="106"/>
      <c r="BM14" s="106"/>
      <c r="BN14" s="106"/>
      <c r="BO14" s="106"/>
      <c r="BP14" s="106"/>
      <c r="BQ14" s="106"/>
      <c r="BR14" s="106"/>
      <c r="BS14" s="106"/>
      <c r="BT14" s="106"/>
      <c r="BU14" s="106"/>
      <c r="BV14" s="106"/>
      <c r="BW14" s="106"/>
      <c r="BX14" s="106"/>
      <c r="BY14" s="106"/>
      <c r="BZ14" s="106"/>
      <c r="CA14" s="106"/>
      <c r="CB14" s="106"/>
      <c r="CC14" s="106"/>
      <c r="CD14" s="106"/>
    </row>
    <row r="15" spans="1:82" s="88" customFormat="1" ht="12.75" customHeight="1" x14ac:dyDescent="0.55000000000000004">
      <c r="A15" s="87"/>
      <c r="C15" s="89" t="s">
        <v>189</v>
      </c>
      <c r="I15" s="146"/>
      <c r="J15" s="176"/>
      <c r="K15" s="176"/>
      <c r="L15" s="176"/>
      <c r="M15" s="106"/>
      <c r="N15" s="59">
        <v>13.599</v>
      </c>
      <c r="O15" s="106"/>
      <c r="P15" s="59">
        <v>12.093</v>
      </c>
      <c r="Q15" s="59">
        <v>34.662999999999997</v>
      </c>
      <c r="R15" s="73">
        <v>34.200000000000003</v>
      </c>
      <c r="S15" s="73">
        <v>34.200000000000003</v>
      </c>
      <c r="T15" s="73">
        <v>34.200000000000003</v>
      </c>
      <c r="U15" s="73">
        <v>34.200000000000003</v>
      </c>
      <c r="V15" s="59">
        <v>33.51</v>
      </c>
      <c r="W15" s="106"/>
      <c r="X15" s="106"/>
      <c r="Y15" s="106"/>
      <c r="Z15" s="68">
        <v>13.1</v>
      </c>
      <c r="AA15" s="68">
        <v>13.6</v>
      </c>
      <c r="AB15" s="106">
        <v>44</v>
      </c>
      <c r="AC15" s="106">
        <v>38.700000000000003</v>
      </c>
      <c r="AD15" s="106">
        <v>25.5</v>
      </c>
      <c r="AE15" s="106">
        <v>20.3</v>
      </c>
      <c r="AF15" s="177"/>
      <c r="AG15" s="177"/>
      <c r="AH15" s="106">
        <v>8.6999999999999993</v>
      </c>
      <c r="AI15" s="106">
        <v>7.7</v>
      </c>
      <c r="AJ15" s="106">
        <v>7</v>
      </c>
      <c r="AK15" s="106">
        <v>6.5</v>
      </c>
      <c r="AL15" s="106">
        <v>5</v>
      </c>
      <c r="AM15" s="106">
        <v>5.2</v>
      </c>
      <c r="AN15" s="106">
        <v>4</v>
      </c>
      <c r="AO15" s="106">
        <v>6.7</v>
      </c>
      <c r="AP15" s="106">
        <v>5.7</v>
      </c>
      <c r="AQ15" s="106">
        <v>5.6</v>
      </c>
      <c r="AR15" s="106">
        <v>2.8</v>
      </c>
      <c r="AS15" s="106"/>
      <c r="AT15" s="106"/>
      <c r="AU15" s="106"/>
      <c r="AV15" s="106"/>
      <c r="AW15" s="106"/>
      <c r="AX15" s="106"/>
      <c r="AY15" s="106"/>
      <c r="AZ15" s="106"/>
      <c r="BA15" s="106"/>
      <c r="BB15" s="106"/>
      <c r="BC15" s="106"/>
      <c r="BD15" s="106"/>
      <c r="BE15" s="106"/>
      <c r="BF15" s="106"/>
      <c r="BG15" s="106"/>
      <c r="BH15" s="106"/>
      <c r="BI15" s="106"/>
      <c r="BJ15" s="106"/>
      <c r="BK15" s="106"/>
      <c r="BL15" s="106"/>
      <c r="BM15" s="106"/>
      <c r="BN15" s="106"/>
      <c r="BO15" s="106"/>
      <c r="BP15" s="106"/>
      <c r="BQ15" s="106"/>
      <c r="BR15" s="106"/>
      <c r="BS15" s="106"/>
      <c r="BT15" s="106"/>
      <c r="BU15" s="106"/>
      <c r="BV15" s="106"/>
      <c r="BW15" s="106"/>
      <c r="BX15" s="106"/>
      <c r="BY15" s="106"/>
      <c r="BZ15" s="106"/>
      <c r="CA15" s="106"/>
      <c r="CB15" s="106"/>
      <c r="CC15" s="106"/>
      <c r="CD15" s="106"/>
    </row>
    <row r="16" spans="1:82" s="88" customFormat="1" ht="12.75" customHeight="1" x14ac:dyDescent="0.55000000000000004">
      <c r="A16" s="87"/>
      <c r="C16" s="84" t="s">
        <v>190</v>
      </c>
      <c r="I16" s="146"/>
      <c r="J16" s="176">
        <v>68.8</v>
      </c>
      <c r="K16" s="176"/>
      <c r="L16" s="176">
        <v>65.599999999999994</v>
      </c>
      <c r="M16" s="106"/>
      <c r="N16" s="106">
        <v>75.100000000000009</v>
      </c>
      <c r="O16" s="106"/>
      <c r="P16" s="59">
        <v>93.100000000000009</v>
      </c>
      <c r="Q16" s="59">
        <v>94.7</v>
      </c>
      <c r="R16" s="59">
        <v>108.2</v>
      </c>
      <c r="S16" s="68">
        <v>105.8</v>
      </c>
      <c r="T16" s="68">
        <v>104.60000000000001</v>
      </c>
      <c r="U16" s="68">
        <v>107.5</v>
      </c>
      <c r="V16" s="59">
        <v>99.399999999999991</v>
      </c>
      <c r="W16" s="106">
        <f>(V16+X16)/2</f>
        <v>99.539999999999992</v>
      </c>
      <c r="X16" s="59">
        <v>99.679999999999993</v>
      </c>
      <c r="Y16" s="176">
        <v>91.8</v>
      </c>
      <c r="Z16" s="68">
        <v>104</v>
      </c>
      <c r="AA16" s="68">
        <v>101</v>
      </c>
      <c r="AB16" s="68">
        <v>95.2</v>
      </c>
      <c r="AC16" s="59">
        <v>103.8</v>
      </c>
      <c r="AD16" s="59">
        <v>107.4</v>
      </c>
      <c r="AE16" s="59">
        <v>114.5</v>
      </c>
      <c r="AF16" s="173">
        <v>126.2</v>
      </c>
      <c r="AG16" s="133">
        <v>209.459</v>
      </c>
      <c r="AH16" s="68">
        <v>223.9</v>
      </c>
      <c r="AI16" s="68">
        <v>234.161</v>
      </c>
      <c r="AJ16" s="68">
        <v>249.30799999999999</v>
      </c>
      <c r="AK16" s="68">
        <v>254.69</v>
      </c>
      <c r="AL16" s="68">
        <v>323.83499999999998</v>
      </c>
      <c r="AM16" s="68">
        <v>339.53099999999995</v>
      </c>
      <c r="AN16" s="68">
        <v>323.10000000000002</v>
      </c>
      <c r="AO16" s="68">
        <v>329.423</v>
      </c>
      <c r="AP16" s="68">
        <v>336.29999999999995</v>
      </c>
      <c r="AQ16" s="68">
        <v>398.19999999999993</v>
      </c>
      <c r="AR16" s="68">
        <v>434.2</v>
      </c>
      <c r="AS16" s="68">
        <v>442.4</v>
      </c>
      <c r="AT16" s="68">
        <v>459.6</v>
      </c>
      <c r="AU16" s="68">
        <v>481.4</v>
      </c>
      <c r="AV16" s="68">
        <v>492.1</v>
      </c>
      <c r="AW16" s="68">
        <v>502.70000000000005</v>
      </c>
      <c r="AX16" s="106"/>
      <c r="AY16" s="106"/>
      <c r="AZ16" s="106"/>
      <c r="BA16" s="106"/>
      <c r="BB16" s="106"/>
      <c r="BC16" s="106"/>
      <c r="BD16" s="68"/>
      <c r="BE16" s="68"/>
      <c r="BF16" s="68"/>
      <c r="BG16" s="68"/>
      <c r="BH16" s="68"/>
      <c r="BI16" s="68"/>
      <c r="BJ16" s="68"/>
      <c r="BK16" s="68"/>
      <c r="BL16" s="68"/>
      <c r="BM16" s="68"/>
      <c r="BN16" s="68">
        <f>BN23</f>
        <v>399.7</v>
      </c>
      <c r="BO16" s="68">
        <f>BO23</f>
        <v>447.4</v>
      </c>
      <c r="BP16" s="68"/>
      <c r="BQ16" s="68"/>
      <c r="BR16" s="68">
        <v>461.95929999999998</v>
      </c>
      <c r="BS16" s="68">
        <v>509</v>
      </c>
      <c r="BT16" s="68">
        <v>542.14440000000013</v>
      </c>
      <c r="BU16" s="68"/>
      <c r="BV16" s="68"/>
      <c r="BW16" s="68">
        <v>477.59800000000001</v>
      </c>
      <c r="BX16" s="68">
        <v>513.70019999999988</v>
      </c>
      <c r="BY16" s="68">
        <v>579.70000000000005</v>
      </c>
      <c r="BZ16" s="68">
        <v>645.07299999999998</v>
      </c>
      <c r="CA16" s="68">
        <v>732.22199999999998</v>
      </c>
      <c r="CB16" s="106"/>
      <c r="CC16" s="106"/>
      <c r="CD16" s="106"/>
    </row>
    <row r="17" spans="1:82" s="30" customFormat="1" ht="12.75" customHeight="1" x14ac:dyDescent="0.55000000000000004">
      <c r="A17" s="87"/>
      <c r="C17" s="84" t="s">
        <v>191</v>
      </c>
      <c r="I17" s="147"/>
      <c r="J17" s="133">
        <v>68.8</v>
      </c>
      <c r="K17" s="133"/>
      <c r="L17" s="133">
        <v>65.599999999999994</v>
      </c>
      <c r="M17" s="59"/>
      <c r="N17" s="59">
        <v>75.100000000000009</v>
      </c>
      <c r="O17" s="59"/>
      <c r="P17" s="59">
        <v>93.100000000000009</v>
      </c>
      <c r="Q17" s="59">
        <v>94.7</v>
      </c>
      <c r="R17" s="59">
        <v>108.2</v>
      </c>
      <c r="S17" s="68">
        <v>105.8</v>
      </c>
      <c r="T17" s="68">
        <v>104.60000000000001</v>
      </c>
      <c r="U17" s="68">
        <v>107.5</v>
      </c>
      <c r="V17" s="59">
        <v>99.399999999999991</v>
      </c>
      <c r="W17" s="59">
        <f>(V17+X17)/2</f>
        <v>99.539999999999992</v>
      </c>
      <c r="X17" s="59">
        <v>99.679999999999993</v>
      </c>
      <c r="Y17" s="133">
        <v>91.8</v>
      </c>
      <c r="Z17" s="68">
        <v>104</v>
      </c>
      <c r="AA17" s="68">
        <v>101</v>
      </c>
      <c r="AB17" s="68">
        <v>95.2</v>
      </c>
      <c r="AC17" s="59">
        <v>103.8</v>
      </c>
      <c r="AD17" s="59">
        <v>107.4</v>
      </c>
      <c r="AE17" s="59">
        <v>114.5</v>
      </c>
      <c r="AF17" s="173">
        <v>126.2</v>
      </c>
      <c r="AG17" s="133">
        <v>139.4</v>
      </c>
      <c r="AH17" s="59">
        <v>151</v>
      </c>
      <c r="AI17" s="59">
        <v>155.1</v>
      </c>
      <c r="AJ17" s="59">
        <v>161.19999999999999</v>
      </c>
      <c r="AK17" s="59">
        <v>164.5</v>
      </c>
      <c r="AL17" s="59">
        <v>176.9</v>
      </c>
      <c r="AM17" s="68">
        <v>206</v>
      </c>
      <c r="AN17" s="59">
        <v>173.8</v>
      </c>
      <c r="AO17" s="59">
        <v>172.3</v>
      </c>
      <c r="AP17" s="59">
        <v>182.6</v>
      </c>
      <c r="AQ17" s="59">
        <v>208.4</v>
      </c>
      <c r="AR17" s="59">
        <v>244</v>
      </c>
      <c r="AS17" s="59"/>
      <c r="AT17" s="59"/>
      <c r="AU17" s="59"/>
      <c r="AV17" s="59"/>
      <c r="AW17" s="59"/>
      <c r="AX17" s="59"/>
      <c r="AY17" s="59"/>
      <c r="AZ17" s="59"/>
      <c r="BA17" s="59"/>
      <c r="BB17" s="59"/>
      <c r="BC17" s="59"/>
      <c r="BD17" s="59"/>
      <c r="BE17" s="59"/>
      <c r="BF17" s="59"/>
      <c r="BG17" s="59"/>
      <c r="BH17" s="59"/>
      <c r="BI17" s="59"/>
      <c r="BJ17" s="59"/>
      <c r="BK17" s="59"/>
      <c r="BL17" s="59"/>
      <c r="BM17" s="59"/>
      <c r="BN17" s="59"/>
      <c r="BO17" s="59"/>
      <c r="BP17" s="59"/>
      <c r="BQ17" s="59"/>
      <c r="BR17" s="59"/>
      <c r="BS17" s="59"/>
      <c r="BT17" s="59"/>
      <c r="BU17" s="59"/>
      <c r="BV17" s="59"/>
      <c r="BW17" s="59"/>
      <c r="BX17" s="59"/>
      <c r="BY17" s="59"/>
      <c r="BZ17" s="59"/>
      <c r="CA17" s="59"/>
      <c r="CB17" s="59"/>
      <c r="CC17" s="59"/>
      <c r="CD17" s="59"/>
    </row>
    <row r="18" spans="1:82" s="30" customFormat="1" ht="12.75" customHeight="1" x14ac:dyDescent="0.55000000000000004">
      <c r="A18" s="87"/>
      <c r="C18" s="89" t="s">
        <v>192</v>
      </c>
      <c r="I18" s="147"/>
      <c r="J18" s="133">
        <v>64.8</v>
      </c>
      <c r="K18" s="133"/>
      <c r="L18" s="133">
        <v>61.6</v>
      </c>
      <c r="M18" s="59"/>
      <c r="N18" s="59">
        <v>71.100000000000009</v>
      </c>
      <c r="O18" s="59"/>
      <c r="P18" s="59">
        <v>88.4</v>
      </c>
      <c r="Q18" s="68">
        <v>89.5</v>
      </c>
      <c r="R18" s="68">
        <v>103</v>
      </c>
      <c r="S18" s="68">
        <v>100.6</v>
      </c>
      <c r="T18" s="68">
        <v>99.4</v>
      </c>
      <c r="U18" s="68">
        <v>102.3</v>
      </c>
      <c r="V18" s="68">
        <v>94.3</v>
      </c>
      <c r="W18" s="68">
        <v>97.2</v>
      </c>
      <c r="X18" s="59">
        <v>94.3</v>
      </c>
      <c r="Y18" s="59">
        <v>86.2</v>
      </c>
      <c r="Z18" s="68">
        <v>99</v>
      </c>
      <c r="AA18" s="68">
        <v>96</v>
      </c>
      <c r="AB18" s="68">
        <v>87.7</v>
      </c>
      <c r="AC18" s="59">
        <v>97.3</v>
      </c>
      <c r="AD18" s="59">
        <v>101.80000000000001</v>
      </c>
      <c r="AE18" s="59">
        <v>109.5</v>
      </c>
      <c r="AF18" s="165">
        <v>121.60000000000001</v>
      </c>
      <c r="AG18" s="165">
        <v>135.20000000000002</v>
      </c>
      <c r="AH18" s="59">
        <v>147.30000000000001</v>
      </c>
      <c r="AI18" s="59">
        <v>151.29999999999998</v>
      </c>
      <c r="AJ18" s="59">
        <v>157.6</v>
      </c>
      <c r="AK18" s="59">
        <v>161</v>
      </c>
      <c r="AL18" s="59">
        <v>174</v>
      </c>
      <c r="AM18" s="68">
        <v>203</v>
      </c>
      <c r="AN18" s="59">
        <v>170.8</v>
      </c>
      <c r="AO18" s="59">
        <v>170.10000000000002</v>
      </c>
      <c r="AP18" s="59">
        <v>180.6</v>
      </c>
      <c r="AQ18" s="59">
        <v>206.9</v>
      </c>
      <c r="AR18" s="59">
        <v>242.8</v>
      </c>
      <c r="AS18" s="59"/>
      <c r="AT18" s="59"/>
      <c r="AU18" s="59"/>
      <c r="AV18" s="59"/>
      <c r="AW18" s="59"/>
      <c r="AX18" s="59"/>
      <c r="AY18" s="59"/>
      <c r="AZ18" s="59"/>
      <c r="BA18" s="59"/>
      <c r="BB18" s="59"/>
      <c r="BC18" s="59"/>
      <c r="BD18" s="59"/>
      <c r="BE18" s="59"/>
      <c r="BF18" s="59"/>
      <c r="BG18" s="59"/>
      <c r="BH18" s="59"/>
      <c r="BI18" s="59"/>
      <c r="BJ18" s="59"/>
      <c r="BK18" s="59"/>
      <c r="BL18" s="59"/>
      <c r="BM18" s="59"/>
      <c r="BN18" s="59"/>
      <c r="BO18" s="59"/>
      <c r="BP18" s="59"/>
      <c r="BQ18" s="59"/>
      <c r="BR18" s="59"/>
      <c r="BS18" s="59"/>
      <c r="BT18" s="59"/>
      <c r="BU18" s="59"/>
      <c r="BV18" s="59"/>
      <c r="BW18" s="59"/>
      <c r="BX18" s="59"/>
      <c r="BY18" s="59"/>
      <c r="BZ18" s="59"/>
      <c r="CA18" s="59"/>
      <c r="CB18" s="59"/>
      <c r="CC18" s="59"/>
      <c r="CD18" s="59"/>
    </row>
    <row r="19" spans="1:82" s="30" customFormat="1" ht="12.75" customHeight="1" x14ac:dyDescent="0.55000000000000004">
      <c r="A19" s="87"/>
      <c r="C19" s="89" t="s">
        <v>193</v>
      </c>
      <c r="I19" s="147"/>
      <c r="J19" s="133">
        <v>4</v>
      </c>
      <c r="K19" s="133"/>
      <c r="L19" s="133">
        <v>4</v>
      </c>
      <c r="M19" s="59"/>
      <c r="N19" s="59">
        <v>4</v>
      </c>
      <c r="O19" s="59"/>
      <c r="P19" s="59">
        <v>4.7</v>
      </c>
      <c r="Q19" s="68">
        <v>5.2</v>
      </c>
      <c r="R19" s="174">
        <v>5.2</v>
      </c>
      <c r="S19" s="174">
        <v>5.2</v>
      </c>
      <c r="T19" s="174">
        <v>5.2</v>
      </c>
      <c r="U19" s="174">
        <v>5.2</v>
      </c>
      <c r="V19" s="68">
        <v>5.0999999999999996</v>
      </c>
      <c r="W19" s="174">
        <v>5.3</v>
      </c>
      <c r="X19" s="59">
        <v>5.38</v>
      </c>
      <c r="Y19" s="165">
        <v>5.5</v>
      </c>
      <c r="Z19" s="68">
        <v>5.6</v>
      </c>
      <c r="AA19" s="68">
        <v>5.2000000000000011</v>
      </c>
      <c r="AB19" s="68">
        <v>7.5</v>
      </c>
      <c r="AC19" s="59">
        <v>6.5</v>
      </c>
      <c r="AD19" s="59">
        <v>5.6</v>
      </c>
      <c r="AE19" s="59">
        <v>5</v>
      </c>
      <c r="AF19" s="165">
        <v>4.5999999999999996</v>
      </c>
      <c r="AG19" s="165">
        <v>4.2</v>
      </c>
      <c r="AH19" s="59">
        <v>3.7</v>
      </c>
      <c r="AI19" s="59">
        <v>3.8</v>
      </c>
      <c r="AJ19" s="59">
        <v>3.6</v>
      </c>
      <c r="AK19" s="59">
        <v>3.5</v>
      </c>
      <c r="AL19" s="59">
        <v>3</v>
      </c>
      <c r="AM19" s="59">
        <v>2.7</v>
      </c>
      <c r="AN19" s="59">
        <v>3</v>
      </c>
      <c r="AO19" s="59">
        <v>2.2000000000000002</v>
      </c>
      <c r="AP19" s="59">
        <v>2</v>
      </c>
      <c r="AQ19" s="59">
        <v>1.5</v>
      </c>
      <c r="AR19" s="59">
        <v>1.2</v>
      </c>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59"/>
      <c r="BQ19" s="59"/>
      <c r="BR19" s="59"/>
      <c r="BS19" s="59"/>
      <c r="BT19" s="59"/>
      <c r="BU19" s="59"/>
      <c r="BV19" s="59"/>
      <c r="BW19" s="59"/>
      <c r="BX19" s="59"/>
      <c r="BY19" s="59"/>
      <c r="BZ19" s="59"/>
      <c r="CA19" s="59"/>
      <c r="CB19" s="59"/>
      <c r="CC19" s="59"/>
      <c r="CD19" s="59"/>
    </row>
    <row r="20" spans="1:82" s="30" customFormat="1" ht="12.75" customHeight="1" x14ac:dyDescent="0.55000000000000004">
      <c r="A20" s="87"/>
      <c r="C20" s="89" t="s">
        <v>194</v>
      </c>
      <c r="I20" s="147"/>
      <c r="J20" s="133"/>
      <c r="K20" s="133"/>
      <c r="L20" s="133"/>
      <c r="M20" s="59"/>
      <c r="N20" s="59"/>
      <c r="O20" s="59"/>
      <c r="P20" s="59"/>
      <c r="Q20" s="68">
        <v>88</v>
      </c>
      <c r="R20" s="133">
        <v>101</v>
      </c>
      <c r="S20" s="133">
        <v>99</v>
      </c>
      <c r="T20" s="133">
        <v>98</v>
      </c>
      <c r="U20" s="133">
        <v>101</v>
      </c>
      <c r="V20" s="133">
        <v>93</v>
      </c>
      <c r="W20" s="133">
        <v>95</v>
      </c>
      <c r="X20" s="59">
        <v>92</v>
      </c>
      <c r="Y20" s="173">
        <v>84</v>
      </c>
      <c r="Z20" s="68"/>
      <c r="AA20" s="68"/>
      <c r="AB20" s="68"/>
      <c r="AC20" s="59"/>
      <c r="AD20" s="59"/>
      <c r="AE20" s="59"/>
      <c r="AF20" s="165"/>
      <c r="AG20" s="165"/>
      <c r="AH20" s="59"/>
      <c r="AI20" s="59"/>
      <c r="AJ20" s="59"/>
      <c r="AK20" s="59"/>
      <c r="AL20" s="59"/>
      <c r="AM20" s="59"/>
      <c r="AN20" s="59"/>
      <c r="AO20" s="59"/>
      <c r="AP20" s="59"/>
      <c r="AQ20" s="59"/>
      <c r="AR20" s="59"/>
      <c r="AS20" s="59"/>
      <c r="AT20" s="59"/>
      <c r="AU20" s="59"/>
      <c r="AV20" s="59"/>
      <c r="AW20" s="59"/>
      <c r="AX20" s="59"/>
      <c r="AY20" s="59"/>
      <c r="AZ20" s="59"/>
      <c r="BA20" s="59"/>
      <c r="BB20" s="59"/>
      <c r="BC20" s="59"/>
      <c r="BD20" s="59"/>
      <c r="BE20" s="59"/>
      <c r="BF20" s="59"/>
      <c r="BG20" s="59"/>
      <c r="BH20" s="59"/>
      <c r="BI20" s="59"/>
      <c r="BJ20" s="59"/>
      <c r="BK20" s="59"/>
      <c r="BL20" s="59"/>
      <c r="BM20" s="59"/>
      <c r="BN20" s="59"/>
      <c r="BO20" s="59"/>
      <c r="BP20" s="59"/>
      <c r="BQ20" s="59"/>
      <c r="BR20" s="59"/>
      <c r="BS20" s="59"/>
      <c r="BT20" s="59"/>
      <c r="BU20" s="59"/>
      <c r="BV20" s="59"/>
      <c r="BW20" s="59"/>
      <c r="BX20" s="59"/>
      <c r="BY20" s="59"/>
      <c r="BZ20" s="59"/>
      <c r="CA20" s="59"/>
      <c r="CB20" s="59"/>
      <c r="CC20" s="59"/>
      <c r="CD20" s="59"/>
    </row>
    <row r="21" spans="1:82" s="88" customFormat="1" ht="12.75" customHeight="1" x14ac:dyDescent="0.55000000000000004">
      <c r="A21" s="91"/>
      <c r="C21" s="92"/>
      <c r="I21" s="146"/>
      <c r="J21" s="176"/>
      <c r="K21" s="176"/>
      <c r="L21" s="176"/>
      <c r="M21" s="106"/>
      <c r="N21" s="106"/>
      <c r="O21" s="106"/>
      <c r="P21" s="106"/>
      <c r="Q21" s="76"/>
      <c r="R21" s="73"/>
      <c r="S21" s="73"/>
      <c r="T21" s="73"/>
      <c r="U21" s="73"/>
      <c r="V21" s="76"/>
      <c r="W21" s="76"/>
      <c r="X21" s="106"/>
      <c r="Y21" s="106"/>
      <c r="Z21" s="76"/>
      <c r="AA21" s="76"/>
      <c r="AB21" s="76"/>
      <c r="AC21" s="106"/>
      <c r="AD21" s="106"/>
      <c r="AE21" s="106"/>
      <c r="AF21" s="178"/>
      <c r="AG21" s="178"/>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c r="BI21" s="106"/>
      <c r="BJ21" s="106"/>
      <c r="BK21" s="106"/>
      <c r="BL21" s="106"/>
      <c r="BM21" s="106"/>
      <c r="BN21" s="106"/>
      <c r="BO21" s="106"/>
      <c r="BP21" s="106"/>
      <c r="BQ21" s="106"/>
      <c r="BR21" s="106"/>
      <c r="BS21" s="106"/>
      <c r="BT21" s="106"/>
      <c r="BU21" s="106"/>
      <c r="BV21" s="106"/>
      <c r="BW21" s="106"/>
      <c r="BX21" s="106"/>
      <c r="BY21" s="106"/>
      <c r="BZ21" s="106"/>
      <c r="CA21" s="106"/>
      <c r="CB21" s="106"/>
      <c r="CC21" s="106"/>
      <c r="CD21" s="106"/>
    </row>
    <row r="22" spans="1:82" ht="12.75" customHeight="1" x14ac:dyDescent="0.5">
      <c r="C22" s="93" t="s">
        <v>195</v>
      </c>
      <c r="I22" s="148"/>
      <c r="J22" s="179"/>
      <c r="K22" s="179"/>
      <c r="L22" s="179"/>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row>
    <row r="23" spans="1:82" ht="12.75" customHeight="1" x14ac:dyDescent="0.5">
      <c r="A23" s="66" t="s">
        <v>187</v>
      </c>
      <c r="C23" s="87" t="s">
        <v>196</v>
      </c>
      <c r="I23" s="148"/>
      <c r="J23" s="179"/>
      <c r="K23" s="179"/>
      <c r="L23" s="179"/>
      <c r="M23" s="56"/>
      <c r="N23" s="56"/>
      <c r="O23" s="56"/>
      <c r="P23" s="56"/>
      <c r="Q23" s="56"/>
      <c r="R23" s="56"/>
      <c r="S23" s="56"/>
      <c r="T23" s="56"/>
      <c r="U23" s="56"/>
      <c r="V23" s="56"/>
      <c r="W23" s="56"/>
      <c r="X23" s="56">
        <f>X24+X28</f>
        <v>98.819000000000003</v>
      </c>
      <c r="Y23" s="56"/>
      <c r="Z23" s="56">
        <f>Z24+Z28</f>
        <v>104.59</v>
      </c>
      <c r="AA23" s="56">
        <f t="shared" ref="AA23:AW23" si="0">AA24+AA28</f>
        <v>101.27000000000001</v>
      </c>
      <c r="AB23" s="153">
        <f t="shared" si="0"/>
        <v>94.7</v>
      </c>
      <c r="AC23" s="56">
        <f t="shared" si="0"/>
        <v>103.9</v>
      </c>
      <c r="AD23" s="56">
        <f t="shared" si="0"/>
        <v>107.5</v>
      </c>
      <c r="AE23" s="56">
        <f t="shared" si="0"/>
        <v>114.5</v>
      </c>
      <c r="AF23" s="56">
        <f t="shared" si="0"/>
        <v>126.2</v>
      </c>
      <c r="AG23" s="56">
        <f t="shared" si="0"/>
        <v>209.459</v>
      </c>
      <c r="AH23" s="56">
        <f t="shared" si="0"/>
        <v>223.9</v>
      </c>
      <c r="AI23" s="56">
        <f t="shared" si="0"/>
        <v>234.161</v>
      </c>
      <c r="AJ23" s="56">
        <f t="shared" si="0"/>
        <v>249.30799999999999</v>
      </c>
      <c r="AK23" s="56">
        <f t="shared" si="0"/>
        <v>254.69</v>
      </c>
      <c r="AL23" s="56">
        <f t="shared" si="0"/>
        <v>323.83499999999998</v>
      </c>
      <c r="AM23" s="56">
        <f t="shared" si="0"/>
        <v>339.53099999999995</v>
      </c>
      <c r="AN23" s="56">
        <f t="shared" si="0"/>
        <v>323.10000000000002</v>
      </c>
      <c r="AO23" s="56">
        <f t="shared" si="0"/>
        <v>329.423</v>
      </c>
      <c r="AP23" s="56">
        <f t="shared" si="0"/>
        <v>336.29999999999995</v>
      </c>
      <c r="AQ23" s="56">
        <f t="shared" si="0"/>
        <v>398.19999999999993</v>
      </c>
      <c r="AR23" s="56">
        <f t="shared" si="0"/>
        <v>434.2</v>
      </c>
      <c r="AS23" s="56">
        <f t="shared" si="0"/>
        <v>442.4</v>
      </c>
      <c r="AT23" s="56">
        <f t="shared" si="0"/>
        <v>459.6</v>
      </c>
      <c r="AU23" s="56">
        <f t="shared" si="0"/>
        <v>481.4</v>
      </c>
      <c r="AV23" s="56">
        <f t="shared" si="0"/>
        <v>492.1</v>
      </c>
      <c r="AW23" s="56">
        <f t="shared" si="0"/>
        <v>502.70000000000005</v>
      </c>
      <c r="AX23" s="56"/>
      <c r="AY23" s="56"/>
      <c r="AZ23" s="56"/>
      <c r="BA23" s="56"/>
      <c r="BB23" s="56"/>
      <c r="BC23" s="56"/>
      <c r="BD23" s="56"/>
      <c r="BE23" s="56"/>
      <c r="BF23" s="56"/>
      <c r="BG23" s="56"/>
      <c r="BH23" s="56"/>
      <c r="BI23" s="56"/>
      <c r="BJ23" s="56"/>
      <c r="BK23" s="56"/>
      <c r="BL23" s="56"/>
      <c r="BM23" s="56"/>
      <c r="BN23" s="56">
        <f>BN24+BN28</f>
        <v>399.7</v>
      </c>
      <c r="BO23" s="56">
        <f>BO24+BO28</f>
        <v>447.4</v>
      </c>
      <c r="BP23" s="56"/>
      <c r="BQ23" s="56"/>
      <c r="BR23" s="56">
        <f>BR24+BR28</f>
        <v>461.95929999999998</v>
      </c>
      <c r="BS23" s="56">
        <f>BS24+BS28</f>
        <v>488</v>
      </c>
      <c r="BT23" s="56">
        <f>BT24+BT28</f>
        <v>542.14440000000013</v>
      </c>
      <c r="BU23" s="56"/>
      <c r="BV23" s="56"/>
      <c r="BW23" s="56">
        <f>BW24+BW28</f>
        <v>477.59800000000001</v>
      </c>
      <c r="BX23" s="56">
        <f>BX24+BX28</f>
        <v>513.70019999999988</v>
      </c>
      <c r="BY23" s="56">
        <f>BY24+BY28</f>
        <v>579.70000000000005</v>
      </c>
      <c r="BZ23" s="56">
        <f>BZ24+BZ28</f>
        <v>645.07299999999998</v>
      </c>
      <c r="CA23" s="56">
        <f>CA24+CA28</f>
        <v>732.22199999999998</v>
      </c>
      <c r="CB23" s="56"/>
      <c r="CC23" s="56"/>
      <c r="CD23" s="56"/>
    </row>
    <row r="24" spans="1:82" s="88" customFormat="1" ht="12.75" customHeight="1" x14ac:dyDescent="0.55000000000000004">
      <c r="A24" s="87"/>
      <c r="C24" s="94" t="s">
        <v>80</v>
      </c>
      <c r="I24" s="146"/>
      <c r="J24" s="176"/>
      <c r="K24" s="176"/>
      <c r="L24" s="176"/>
      <c r="M24" s="106"/>
      <c r="N24" s="106"/>
      <c r="O24" s="106"/>
      <c r="P24" s="180"/>
      <c r="Q24" s="68"/>
      <c r="R24" s="68"/>
      <c r="S24" s="68"/>
      <c r="T24" s="68"/>
      <c r="U24" s="68"/>
      <c r="V24" s="68"/>
      <c r="W24" s="76"/>
      <c r="X24" s="68">
        <v>80.84</v>
      </c>
      <c r="Y24" s="73"/>
      <c r="Z24" s="68">
        <v>89.100000000000009</v>
      </c>
      <c r="AA24" s="68">
        <v>84.7</v>
      </c>
      <c r="AB24" s="68">
        <v>78</v>
      </c>
      <c r="AC24" s="68">
        <v>86.3</v>
      </c>
      <c r="AD24" s="68">
        <v>90</v>
      </c>
      <c r="AE24" s="68">
        <v>97.7</v>
      </c>
      <c r="AF24" s="174">
        <v>108.2</v>
      </c>
      <c r="AG24" s="174">
        <v>120.4</v>
      </c>
      <c r="AH24" s="68">
        <v>130.9</v>
      </c>
      <c r="AI24" s="68">
        <v>134.9</v>
      </c>
      <c r="AJ24" s="68">
        <v>138.69999999999999</v>
      </c>
      <c r="AK24" s="68">
        <v>142</v>
      </c>
      <c r="AL24" s="68">
        <v>155.4</v>
      </c>
      <c r="AM24" s="68">
        <v>178.7</v>
      </c>
      <c r="AN24" s="68">
        <v>148.30000000000001</v>
      </c>
      <c r="AO24" s="68">
        <v>146.80000000000001</v>
      </c>
      <c r="AP24" s="68">
        <v>158.5</v>
      </c>
      <c r="AQ24" s="68">
        <v>186.2</v>
      </c>
      <c r="AR24" s="68">
        <v>221.5</v>
      </c>
      <c r="AS24" s="68">
        <v>223.9</v>
      </c>
      <c r="AT24" s="68">
        <v>250.3</v>
      </c>
      <c r="AU24" s="68">
        <v>281.2</v>
      </c>
      <c r="AV24" s="68">
        <v>291.7</v>
      </c>
      <c r="AW24" s="68">
        <v>302.10000000000002</v>
      </c>
      <c r="AX24" s="106"/>
      <c r="AY24" s="106"/>
      <c r="AZ24" s="106">
        <v>291.83999999999997</v>
      </c>
      <c r="BA24" s="106"/>
      <c r="BB24" s="106"/>
      <c r="BC24" s="106"/>
      <c r="BD24" s="106"/>
      <c r="BE24" s="106"/>
      <c r="BF24" s="106"/>
      <c r="BG24" s="106"/>
      <c r="BH24" s="106"/>
      <c r="BI24" s="106"/>
      <c r="BJ24" s="106"/>
      <c r="BK24" s="106"/>
      <c r="BL24" s="106"/>
      <c r="BM24" s="106"/>
      <c r="BN24" s="59">
        <v>322</v>
      </c>
      <c r="BO24" s="106">
        <v>354.29999999999995</v>
      </c>
      <c r="BP24" s="106"/>
      <c r="BQ24" s="106"/>
      <c r="BR24" s="106">
        <v>422.01159999999999</v>
      </c>
      <c r="BS24" s="106">
        <v>438</v>
      </c>
      <c r="BT24" s="106">
        <v>479.32080000000008</v>
      </c>
      <c r="BU24" s="106"/>
      <c r="BV24" s="106"/>
      <c r="BW24" s="59">
        <v>417.57900000000001</v>
      </c>
      <c r="BX24" s="59">
        <v>455.1083999999999</v>
      </c>
      <c r="BY24" s="106">
        <v>502.2</v>
      </c>
      <c r="BZ24" s="106">
        <v>570.71299999999997</v>
      </c>
      <c r="CA24" s="106">
        <v>653.005</v>
      </c>
      <c r="CB24" s="106"/>
      <c r="CC24" s="106"/>
      <c r="CD24" s="106"/>
    </row>
    <row r="25" spans="1:82" s="88" customFormat="1" ht="12.75" customHeight="1" x14ac:dyDescent="0.55000000000000004">
      <c r="A25" s="87"/>
      <c r="C25" s="95" t="s">
        <v>81</v>
      </c>
      <c r="I25" s="146"/>
      <c r="J25" s="176"/>
      <c r="K25" s="176"/>
      <c r="L25" s="176"/>
      <c r="M25" s="106"/>
      <c r="N25" s="106"/>
      <c r="O25" s="106"/>
      <c r="P25" s="180"/>
      <c r="Q25" s="68"/>
      <c r="R25" s="68"/>
      <c r="S25" s="68"/>
      <c r="T25" s="68"/>
      <c r="U25" s="68"/>
      <c r="V25" s="68"/>
      <c r="W25" s="76"/>
      <c r="X25" s="76">
        <v>55.49</v>
      </c>
      <c r="Y25" s="106"/>
      <c r="Z25" s="68">
        <v>66.900000000000006</v>
      </c>
      <c r="AA25" s="68">
        <v>64.400000000000006</v>
      </c>
      <c r="AB25" s="68">
        <v>52.8</v>
      </c>
      <c r="AC25" s="59">
        <v>59.1</v>
      </c>
      <c r="AD25" s="59">
        <v>60.4</v>
      </c>
      <c r="AE25" s="59">
        <v>65.7</v>
      </c>
      <c r="AF25" s="59"/>
      <c r="AG25" s="59"/>
      <c r="AH25" s="59">
        <v>94</v>
      </c>
      <c r="AI25" s="59">
        <v>95.3</v>
      </c>
      <c r="AJ25" s="59">
        <v>99.6</v>
      </c>
      <c r="AK25" s="59">
        <v>101</v>
      </c>
      <c r="AL25" s="59">
        <v>130</v>
      </c>
      <c r="AM25" s="59">
        <v>168</v>
      </c>
      <c r="AN25" s="106">
        <v>148.30000000000001</v>
      </c>
      <c r="AO25" s="106">
        <v>146.80000000000001</v>
      </c>
      <c r="AP25" s="106">
        <v>158.5</v>
      </c>
      <c r="AQ25" s="106">
        <v>186.2</v>
      </c>
      <c r="AR25" s="106">
        <v>221.5</v>
      </c>
      <c r="AS25" s="106">
        <v>223.9</v>
      </c>
      <c r="AT25" s="106">
        <v>250.3</v>
      </c>
      <c r="AU25" s="106">
        <v>281.2</v>
      </c>
      <c r="AV25" s="106">
        <v>291.7</v>
      </c>
      <c r="AW25" s="106">
        <v>302.10000000000002</v>
      </c>
      <c r="AX25" s="106"/>
      <c r="AY25" s="106"/>
      <c r="AZ25" s="106">
        <v>96.5</v>
      </c>
      <c r="BA25" s="106"/>
      <c r="BB25" s="106"/>
      <c r="BC25" s="106"/>
      <c r="BD25" s="106"/>
      <c r="BE25" s="106"/>
      <c r="BF25" s="106"/>
      <c r="BG25" s="106"/>
      <c r="BH25" s="106"/>
      <c r="BI25" s="106"/>
      <c r="BJ25" s="106"/>
      <c r="BK25" s="106"/>
      <c r="BL25" s="106"/>
      <c r="BM25" s="106"/>
      <c r="BN25" s="106"/>
      <c r="BO25" s="106">
        <v>184.1</v>
      </c>
      <c r="BP25" s="106"/>
      <c r="BQ25" s="106"/>
      <c r="BR25" s="106"/>
      <c r="BS25" s="106"/>
      <c r="BT25" s="106"/>
      <c r="BU25" s="106"/>
      <c r="BV25" s="106"/>
      <c r="BW25" s="106"/>
      <c r="BX25" s="106"/>
      <c r="BY25" s="106"/>
      <c r="BZ25" s="106"/>
      <c r="CA25" s="106"/>
      <c r="CB25" s="106"/>
      <c r="CC25" s="106"/>
      <c r="CD25" s="106"/>
    </row>
    <row r="26" spans="1:82" s="30" customFormat="1" ht="12.75" customHeight="1" x14ac:dyDescent="0.55000000000000004">
      <c r="A26" s="87"/>
      <c r="C26" s="95" t="s">
        <v>82</v>
      </c>
      <c r="I26" s="147"/>
      <c r="J26" s="133"/>
      <c r="K26" s="133"/>
      <c r="L26" s="133"/>
      <c r="M26" s="59"/>
      <c r="N26" s="59"/>
      <c r="O26" s="59"/>
      <c r="P26" s="180"/>
      <c r="Q26" s="59"/>
      <c r="R26" s="59"/>
      <c r="S26" s="59"/>
      <c r="T26" s="59"/>
      <c r="U26" s="59"/>
      <c r="V26" s="59"/>
      <c r="W26" s="59"/>
      <c r="X26" s="68">
        <v>25.349999999999998</v>
      </c>
      <c r="Y26" s="59"/>
      <c r="Z26" s="59">
        <v>22.2</v>
      </c>
      <c r="AA26" s="59">
        <v>20.3</v>
      </c>
      <c r="AB26" s="59">
        <v>25.2</v>
      </c>
      <c r="AC26" s="59">
        <v>27.2</v>
      </c>
      <c r="AD26" s="59">
        <v>29.6</v>
      </c>
      <c r="AE26" s="59">
        <v>32</v>
      </c>
      <c r="AF26" s="59"/>
      <c r="AG26" s="59"/>
      <c r="AH26" s="59">
        <v>36.9</v>
      </c>
      <c r="AI26" s="59">
        <v>39.6</v>
      </c>
      <c r="AJ26" s="59">
        <v>39.1</v>
      </c>
      <c r="AK26" s="59">
        <v>41</v>
      </c>
      <c r="AL26" s="59">
        <v>25.4</v>
      </c>
      <c r="AM26" s="68">
        <v>10.7</v>
      </c>
      <c r="AN26" s="59">
        <v>0</v>
      </c>
      <c r="AO26" s="59">
        <v>0</v>
      </c>
      <c r="AP26" s="59">
        <v>0</v>
      </c>
      <c r="AQ26" s="59">
        <v>0</v>
      </c>
      <c r="AR26" s="59"/>
      <c r="AS26" s="59"/>
      <c r="AT26" s="59"/>
      <c r="AU26" s="59"/>
      <c r="AV26" s="59"/>
      <c r="AW26" s="59"/>
      <c r="AX26" s="59"/>
      <c r="AY26" s="59"/>
      <c r="AZ26" s="59">
        <v>163</v>
      </c>
      <c r="BA26" s="59"/>
      <c r="BB26" s="59"/>
      <c r="BC26" s="59"/>
      <c r="BD26" s="59"/>
      <c r="BE26" s="59"/>
      <c r="BF26" s="59"/>
      <c r="BG26" s="59"/>
      <c r="BH26" s="59"/>
      <c r="BI26" s="59"/>
      <c r="BJ26" s="59"/>
      <c r="BK26" s="59"/>
      <c r="BL26" s="59"/>
      <c r="BM26" s="59"/>
      <c r="BN26" s="59"/>
      <c r="BO26" s="59">
        <v>170.2</v>
      </c>
      <c r="BP26" s="59"/>
      <c r="BQ26" s="59"/>
      <c r="BR26" s="59"/>
      <c r="BS26" s="59"/>
      <c r="BT26" s="59"/>
      <c r="BU26" s="59"/>
      <c r="BV26" s="59"/>
      <c r="BW26" s="59"/>
      <c r="BX26" s="59"/>
      <c r="BY26" s="59"/>
      <c r="BZ26" s="59"/>
      <c r="CA26" s="59"/>
      <c r="CB26" s="59"/>
      <c r="CC26" s="59"/>
      <c r="CD26" s="59"/>
    </row>
    <row r="27" spans="1:82" s="30" customFormat="1" ht="12.75" customHeight="1" x14ac:dyDescent="0.5">
      <c r="A27" s="40"/>
      <c r="C27" s="95" t="s">
        <v>197</v>
      </c>
      <c r="I27" s="66"/>
      <c r="J27" s="133"/>
      <c r="K27" s="133"/>
      <c r="L27" s="133"/>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v>32.299999999999997</v>
      </c>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row>
    <row r="28" spans="1:82" s="88" customFormat="1" ht="12.75" customHeight="1" x14ac:dyDescent="0.55000000000000004">
      <c r="A28" s="87"/>
      <c r="C28" s="84" t="s">
        <v>198</v>
      </c>
      <c r="J28" s="106"/>
      <c r="K28" s="106"/>
      <c r="L28" s="106"/>
      <c r="M28" s="106"/>
      <c r="N28" s="106"/>
      <c r="O28" s="106"/>
      <c r="P28" s="59"/>
      <c r="Q28" s="68"/>
      <c r="R28" s="68"/>
      <c r="S28" s="68"/>
      <c r="T28" s="68"/>
      <c r="U28" s="68"/>
      <c r="V28" s="68"/>
      <c r="W28" s="76"/>
      <c r="X28" s="59">
        <v>17.979000000000003</v>
      </c>
      <c r="Y28" s="106"/>
      <c r="Z28" s="59">
        <v>15.490000000000002</v>
      </c>
      <c r="AA28" s="59">
        <v>16.57</v>
      </c>
      <c r="AB28" s="59">
        <v>16.700000000000003</v>
      </c>
      <c r="AC28" s="59">
        <v>17.600000000000001</v>
      </c>
      <c r="AD28" s="59">
        <v>17.5</v>
      </c>
      <c r="AE28" s="59">
        <v>16.8</v>
      </c>
      <c r="AF28" s="59">
        <v>18</v>
      </c>
      <c r="AG28" s="59">
        <v>89.058999999999997</v>
      </c>
      <c r="AH28" s="59">
        <v>93</v>
      </c>
      <c r="AI28" s="59">
        <v>99.260999999999996</v>
      </c>
      <c r="AJ28" s="59">
        <v>110.608</v>
      </c>
      <c r="AK28" s="59">
        <v>112.69000000000001</v>
      </c>
      <c r="AL28" s="59">
        <v>168.43499999999997</v>
      </c>
      <c r="AM28" s="59">
        <v>160.83099999999999</v>
      </c>
      <c r="AN28" s="59">
        <v>174.8</v>
      </c>
      <c r="AO28" s="59">
        <v>182.62299999999999</v>
      </c>
      <c r="AP28" s="59">
        <v>177.79999999999998</v>
      </c>
      <c r="AQ28" s="59">
        <v>211.99999999999997</v>
      </c>
      <c r="AR28" s="59">
        <v>212.7</v>
      </c>
      <c r="AS28" s="59">
        <v>218.5</v>
      </c>
      <c r="AT28" s="73">
        <f>194.3+AT30</f>
        <v>209.3</v>
      </c>
      <c r="AU28" s="73">
        <f>185.2+AU30</f>
        <v>200.2</v>
      </c>
      <c r="AV28" s="73">
        <f>185.4+AV30</f>
        <v>200.4</v>
      </c>
      <c r="AW28" s="73">
        <f>185.6+AW30</f>
        <v>200.6</v>
      </c>
      <c r="AX28" s="106"/>
      <c r="AY28" s="106"/>
      <c r="AZ28" s="106"/>
      <c r="BA28" s="106"/>
      <c r="BB28" s="106"/>
      <c r="BC28" s="106"/>
      <c r="BD28" s="106"/>
      <c r="BE28" s="106"/>
      <c r="BF28" s="106"/>
      <c r="BG28" s="106"/>
      <c r="BH28" s="106"/>
      <c r="BI28" s="106"/>
      <c r="BJ28" s="106"/>
      <c r="BK28" s="106"/>
      <c r="BL28" s="106"/>
      <c r="BM28" s="106"/>
      <c r="BN28" s="106">
        <f>BN29+BN30</f>
        <v>77.699999999999989</v>
      </c>
      <c r="BO28" s="106">
        <f>BO29+BO30</f>
        <v>93.1</v>
      </c>
      <c r="BP28" s="106"/>
      <c r="BQ28" s="106"/>
      <c r="BR28" s="106">
        <v>39.947700000000005</v>
      </c>
      <c r="BS28" s="106">
        <v>50</v>
      </c>
      <c r="BT28" s="106">
        <v>62.823600000000006</v>
      </c>
      <c r="BU28" s="106"/>
      <c r="BV28" s="106"/>
      <c r="BW28" s="106">
        <v>60.019000000000005</v>
      </c>
      <c r="BX28" s="106">
        <v>58.591799999999999</v>
      </c>
      <c r="BY28" s="106">
        <v>77.5</v>
      </c>
      <c r="BZ28" s="106">
        <v>74.36</v>
      </c>
      <c r="CA28" s="106">
        <v>79.216999999999999</v>
      </c>
      <c r="CB28" s="106"/>
      <c r="CC28" s="106"/>
      <c r="CD28" s="106"/>
    </row>
    <row r="29" spans="1:82" s="30" customFormat="1" ht="12.75" customHeight="1" x14ac:dyDescent="0.55000000000000004">
      <c r="A29" s="87"/>
      <c r="C29" s="96" t="s">
        <v>199</v>
      </c>
      <c r="J29" s="59"/>
      <c r="K29" s="59"/>
      <c r="L29" s="59"/>
      <c r="M29" s="59"/>
      <c r="N29" s="59"/>
      <c r="O29" s="59"/>
      <c r="P29" s="59"/>
      <c r="Q29" s="59"/>
      <c r="R29" s="59"/>
      <c r="S29" s="59"/>
      <c r="T29" s="59"/>
      <c r="U29" s="59"/>
      <c r="V29" s="59"/>
      <c r="W29" s="59"/>
      <c r="X29" s="59"/>
      <c r="Y29" s="59"/>
      <c r="Z29" s="59"/>
      <c r="AA29" s="59"/>
      <c r="AB29" s="59"/>
      <c r="AC29" s="59"/>
      <c r="AD29" s="59"/>
      <c r="AE29" s="59"/>
      <c r="AF29" s="59"/>
      <c r="AG29" s="59">
        <v>46.706000000000003</v>
      </c>
      <c r="AH29" s="59">
        <v>52.4</v>
      </c>
      <c r="AI29" s="59">
        <v>64.460999999999999</v>
      </c>
      <c r="AJ29" s="59">
        <v>75.308000000000007</v>
      </c>
      <c r="AK29" s="59">
        <v>74.790000000000006</v>
      </c>
      <c r="AL29" s="59">
        <v>129.935</v>
      </c>
      <c r="AM29" s="59">
        <v>115.53100000000001</v>
      </c>
      <c r="AN29" s="59">
        <v>132.6</v>
      </c>
      <c r="AO29" s="59">
        <v>142.523</v>
      </c>
      <c r="AP29" s="59">
        <v>139.4</v>
      </c>
      <c r="AQ29" s="59">
        <v>177.5</v>
      </c>
      <c r="AR29" s="59">
        <v>175.6</v>
      </c>
      <c r="AS29" s="59">
        <v>178.6</v>
      </c>
      <c r="AT29" s="165"/>
      <c r="AU29" s="59"/>
      <c r="AV29" s="59"/>
      <c r="AW29" s="59"/>
      <c r="AX29" s="59"/>
      <c r="AY29" s="59"/>
      <c r="AZ29" s="59"/>
      <c r="BA29" s="59"/>
      <c r="BB29" s="59"/>
      <c r="BC29" s="59"/>
      <c r="BD29" s="59"/>
      <c r="BE29" s="59"/>
      <c r="BF29" s="59"/>
      <c r="BG29" s="59"/>
      <c r="BH29" s="59"/>
      <c r="BI29" s="59"/>
      <c r="BJ29" s="59"/>
      <c r="BK29" s="59"/>
      <c r="BL29" s="59"/>
      <c r="BM29" s="59"/>
      <c r="BN29" s="59">
        <v>64.099999999999994</v>
      </c>
      <c r="BO29" s="106">
        <v>76.7</v>
      </c>
      <c r="BP29" s="59"/>
      <c r="BQ29" s="59"/>
      <c r="BR29" s="106">
        <v>33.801900000000003</v>
      </c>
      <c r="BS29" s="106">
        <v>46</v>
      </c>
      <c r="BT29" s="106">
        <v>53.516400000000004</v>
      </c>
      <c r="BU29" s="59"/>
      <c r="BV29" s="59"/>
      <c r="BW29" s="59">
        <v>45.972000000000008</v>
      </c>
      <c r="BX29" s="59">
        <v>49.053600000000003</v>
      </c>
      <c r="BY29" s="106">
        <v>52.7</v>
      </c>
      <c r="BZ29" s="106">
        <v>53.910999999999994</v>
      </c>
      <c r="CA29" s="106">
        <v>55.666000000000004</v>
      </c>
      <c r="CB29" s="59"/>
      <c r="CC29" s="59"/>
      <c r="CD29" s="59"/>
    </row>
    <row r="30" spans="1:82" s="30" customFormat="1" ht="12.75" customHeight="1" x14ac:dyDescent="0.55000000000000004">
      <c r="A30" s="87"/>
      <c r="C30" s="95" t="s">
        <v>200</v>
      </c>
      <c r="J30" s="59"/>
      <c r="K30" s="59"/>
      <c r="L30" s="59"/>
      <c r="M30" s="59"/>
      <c r="N30" s="59"/>
      <c r="O30" s="59"/>
      <c r="P30" s="59"/>
      <c r="Q30" s="59"/>
      <c r="R30" s="59"/>
      <c r="S30" s="59"/>
      <c r="T30" s="59"/>
      <c r="U30" s="59"/>
      <c r="V30" s="59"/>
      <c r="W30" s="59"/>
      <c r="X30" s="59"/>
      <c r="Y30" s="59"/>
      <c r="Z30" s="59"/>
      <c r="AA30" s="59"/>
      <c r="AB30" s="59"/>
      <c r="AC30" s="59"/>
      <c r="AD30" s="59"/>
      <c r="AE30" s="59"/>
      <c r="AF30" s="59"/>
      <c r="AG30" s="59">
        <v>4.2460000000000004</v>
      </c>
      <c r="AH30" s="59">
        <v>4.3</v>
      </c>
      <c r="AI30" s="59">
        <v>4.5</v>
      </c>
      <c r="AJ30" s="59">
        <v>4.7</v>
      </c>
      <c r="AK30" s="59">
        <v>7.8</v>
      </c>
      <c r="AL30" s="59">
        <v>8.6999999999999993</v>
      </c>
      <c r="AM30" s="59">
        <v>11</v>
      </c>
      <c r="AN30" s="59">
        <v>8.9</v>
      </c>
      <c r="AO30" s="59">
        <v>9</v>
      </c>
      <c r="AP30" s="59">
        <v>9.1999999999999993</v>
      </c>
      <c r="AQ30" s="59">
        <v>7.7</v>
      </c>
      <c r="AR30" s="59">
        <v>11.1</v>
      </c>
      <c r="AS30" s="59">
        <v>15.3</v>
      </c>
      <c r="AT30" s="165">
        <v>15</v>
      </c>
      <c r="AU30" s="165">
        <v>15</v>
      </c>
      <c r="AV30" s="165">
        <v>15</v>
      </c>
      <c r="AW30" s="165">
        <v>15</v>
      </c>
      <c r="AX30" s="59"/>
      <c r="AY30" s="59"/>
      <c r="AZ30" s="59"/>
      <c r="BA30" s="59"/>
      <c r="BB30" s="59"/>
      <c r="BC30" s="59"/>
      <c r="BD30" s="59"/>
      <c r="BE30" s="59"/>
      <c r="BF30" s="59"/>
      <c r="BG30" s="59"/>
      <c r="BH30" s="59"/>
      <c r="BI30" s="59"/>
      <c r="BJ30" s="59"/>
      <c r="BK30" s="59"/>
      <c r="BL30" s="59"/>
      <c r="BM30" s="59"/>
      <c r="BN30" s="59">
        <v>13.6</v>
      </c>
      <c r="BO30" s="59">
        <v>16.399999999999999</v>
      </c>
      <c r="BP30" s="59"/>
      <c r="BQ30" s="59"/>
      <c r="BR30" s="106">
        <v>6.1457999999999995</v>
      </c>
      <c r="BS30" s="106">
        <v>4.3</v>
      </c>
      <c r="BT30" s="106">
        <v>9.3072000000000017</v>
      </c>
      <c r="BU30" s="59"/>
      <c r="BV30" s="59"/>
      <c r="BW30" s="59">
        <v>14.047000000000001</v>
      </c>
      <c r="BX30" s="59">
        <v>9.538199999999998</v>
      </c>
      <c r="BY30" s="59">
        <v>24.8</v>
      </c>
      <c r="BZ30" s="106">
        <v>20.449000000000002</v>
      </c>
      <c r="CA30" s="106">
        <v>23.551000000000002</v>
      </c>
      <c r="CB30" s="59"/>
      <c r="CC30" s="59"/>
      <c r="CD30" s="59"/>
    </row>
    <row r="31" spans="1:82" s="30" customFormat="1" ht="12.75" customHeight="1" x14ac:dyDescent="0.55000000000000004">
      <c r="A31" s="87"/>
      <c r="C31" s="95" t="s">
        <v>201</v>
      </c>
      <c r="J31" s="59"/>
      <c r="K31" s="59"/>
      <c r="L31" s="59"/>
      <c r="M31" s="59"/>
      <c r="N31" s="59"/>
      <c r="O31" s="59"/>
      <c r="P31" s="59"/>
      <c r="Q31" s="59"/>
      <c r="R31" s="59"/>
      <c r="S31" s="59"/>
      <c r="T31" s="59"/>
      <c r="U31" s="59"/>
      <c r="V31" s="59"/>
      <c r="W31" s="59"/>
      <c r="X31" s="59"/>
      <c r="Y31" s="59"/>
      <c r="Z31" s="59"/>
      <c r="AA31" s="59"/>
      <c r="AB31" s="59"/>
      <c r="AC31" s="59"/>
      <c r="AD31" s="59"/>
      <c r="AE31" s="59"/>
      <c r="AF31" s="59"/>
      <c r="AG31" s="59">
        <v>19.106999999999999</v>
      </c>
      <c r="AH31" s="59">
        <v>16.2</v>
      </c>
      <c r="AI31" s="59">
        <v>10.1</v>
      </c>
      <c r="AJ31" s="59">
        <v>8.1</v>
      </c>
      <c r="AK31" s="59">
        <v>7.9</v>
      </c>
      <c r="AL31" s="59">
        <v>8.1</v>
      </c>
      <c r="AM31" s="59">
        <v>6.7</v>
      </c>
      <c r="AN31" s="59">
        <v>7.8</v>
      </c>
      <c r="AO31" s="59">
        <v>5.7</v>
      </c>
      <c r="AP31" s="59">
        <v>5.2</v>
      </c>
      <c r="AQ31" s="59">
        <v>4.7</v>
      </c>
      <c r="AR31" s="59">
        <v>3.5</v>
      </c>
      <c r="AS31" s="165"/>
      <c r="AT31" s="59"/>
      <c r="AU31" s="59"/>
      <c r="AV31" s="59"/>
      <c r="AW31" s="59"/>
      <c r="AX31" s="59"/>
      <c r="AY31" s="59"/>
      <c r="AZ31" s="59"/>
      <c r="BA31" s="59"/>
      <c r="BB31" s="59"/>
      <c r="BC31" s="59"/>
      <c r="BD31" s="59"/>
      <c r="BE31" s="59"/>
      <c r="BF31" s="59"/>
      <c r="BG31" s="59"/>
      <c r="BH31" s="59"/>
      <c r="BI31" s="59"/>
      <c r="BJ31" s="59"/>
      <c r="BK31" s="59"/>
      <c r="BL31" s="59"/>
      <c r="BM31" s="59"/>
      <c r="BN31" s="59"/>
      <c r="BO31" s="59"/>
      <c r="BP31" s="59"/>
      <c r="BQ31" s="59"/>
      <c r="BR31" s="59"/>
      <c r="BS31" s="59"/>
      <c r="BT31" s="59"/>
      <c r="BU31" s="59"/>
      <c r="BV31" s="59"/>
      <c r="BW31" s="59"/>
      <c r="BX31" s="59"/>
      <c r="BY31" s="59"/>
      <c r="BZ31" s="106"/>
      <c r="CA31" s="59"/>
      <c r="CB31" s="59"/>
      <c r="CC31" s="59"/>
      <c r="CD31" s="59"/>
    </row>
    <row r="32" spans="1:82" s="88" customFormat="1" ht="12.75" customHeight="1" x14ac:dyDescent="0.55000000000000004">
      <c r="A32" s="87"/>
      <c r="C32" s="89" t="s">
        <v>202</v>
      </c>
      <c r="J32" s="106"/>
      <c r="K32" s="106"/>
      <c r="L32" s="106"/>
      <c r="M32" s="106"/>
      <c r="N32" s="106"/>
      <c r="O32" s="106"/>
      <c r="P32" s="59"/>
      <c r="Q32" s="68"/>
      <c r="R32" s="68"/>
      <c r="S32" s="68"/>
      <c r="T32" s="68"/>
      <c r="U32" s="68"/>
      <c r="V32" s="68"/>
      <c r="W32" s="76"/>
      <c r="X32" s="68">
        <v>17.979000000000003</v>
      </c>
      <c r="Y32" s="106"/>
      <c r="Z32" s="68">
        <v>15.490000000000002</v>
      </c>
      <c r="AA32" s="68">
        <v>16.57</v>
      </c>
      <c r="AB32" s="68">
        <v>16.700000000000003</v>
      </c>
      <c r="AC32" s="68">
        <v>17.600000000000001</v>
      </c>
      <c r="AD32" s="68">
        <v>17.5</v>
      </c>
      <c r="AE32" s="68">
        <v>16.8</v>
      </c>
      <c r="AF32" s="174">
        <v>18</v>
      </c>
      <c r="AG32" s="174">
        <v>19</v>
      </c>
      <c r="AH32" s="59">
        <v>20.100000000000001</v>
      </c>
      <c r="AI32" s="59">
        <v>20.2</v>
      </c>
      <c r="AJ32" s="59">
        <v>22.5</v>
      </c>
      <c r="AK32" s="59">
        <v>22.2</v>
      </c>
      <c r="AL32" s="59">
        <v>21.7</v>
      </c>
      <c r="AM32" s="59">
        <v>27.6</v>
      </c>
      <c r="AN32" s="59">
        <v>25.5</v>
      </c>
      <c r="AO32" s="59">
        <v>25.4</v>
      </c>
      <c r="AP32" s="59">
        <v>24</v>
      </c>
      <c r="AQ32" s="68">
        <v>22.1</v>
      </c>
      <c r="AR32" s="76">
        <v>22.5</v>
      </c>
      <c r="AS32" s="76">
        <v>24.6</v>
      </c>
      <c r="AT32" s="106"/>
      <c r="AU32" s="106"/>
      <c r="AV32" s="106"/>
      <c r="AW32" s="106"/>
      <c r="AX32" s="106"/>
      <c r="AY32" s="106"/>
      <c r="AZ32" s="106"/>
      <c r="BA32" s="106"/>
      <c r="BB32" s="106"/>
      <c r="BC32" s="106"/>
      <c r="BD32" s="106"/>
      <c r="BE32" s="106"/>
      <c r="BF32" s="106"/>
      <c r="BG32" s="106"/>
      <c r="BH32" s="106"/>
      <c r="BI32" s="106"/>
      <c r="BJ32" s="106"/>
      <c r="BK32" s="106"/>
      <c r="BL32" s="106"/>
      <c r="BM32" s="106"/>
      <c r="BN32" s="106"/>
      <c r="BO32" s="106"/>
      <c r="BP32" s="106"/>
      <c r="BQ32" s="106"/>
      <c r="BR32" s="106"/>
      <c r="BS32" s="106"/>
      <c r="BT32" s="106"/>
      <c r="BU32" s="106"/>
      <c r="BV32" s="59"/>
      <c r="BW32" s="59"/>
      <c r="BX32" s="106"/>
      <c r="BY32" s="106"/>
      <c r="BZ32" s="106"/>
      <c r="CA32" s="106"/>
      <c r="CB32" s="106"/>
      <c r="CC32" s="106"/>
      <c r="CD32" s="106"/>
    </row>
    <row r="33" spans="1:82" s="88" customFormat="1" ht="12.75" customHeight="1" x14ac:dyDescent="0.55000000000000004">
      <c r="A33" s="87"/>
      <c r="C33" s="97" t="s">
        <v>203</v>
      </c>
      <c r="J33" s="106"/>
      <c r="K33" s="106"/>
      <c r="L33" s="106"/>
      <c r="M33" s="106"/>
      <c r="N33" s="106"/>
      <c r="O33" s="106"/>
      <c r="P33" s="59"/>
      <c r="Q33" s="68"/>
      <c r="R33" s="68"/>
      <c r="S33" s="68"/>
      <c r="T33" s="68"/>
      <c r="U33" s="68"/>
      <c r="V33" s="68"/>
      <c r="W33" s="76"/>
      <c r="X33" s="106">
        <v>1.6260000000000001</v>
      </c>
      <c r="Y33" s="106"/>
      <c r="Z33" s="68">
        <v>1.8</v>
      </c>
      <c r="AA33" s="68">
        <v>1.7</v>
      </c>
      <c r="AB33" s="68">
        <v>1.8</v>
      </c>
      <c r="AC33" s="59">
        <v>1.9</v>
      </c>
      <c r="AD33" s="59">
        <v>1.8</v>
      </c>
      <c r="AE33" s="59">
        <v>2</v>
      </c>
      <c r="AF33" s="59"/>
      <c r="AG33" s="59"/>
      <c r="AH33" s="59">
        <v>3.6</v>
      </c>
      <c r="AI33" s="59">
        <v>2.9</v>
      </c>
      <c r="AJ33" s="59">
        <v>3</v>
      </c>
      <c r="AK33" s="59">
        <v>2.2999999999999998</v>
      </c>
      <c r="AL33" s="59">
        <v>3.3</v>
      </c>
      <c r="AM33" s="59">
        <v>3.3</v>
      </c>
      <c r="AN33" s="106">
        <v>3.9</v>
      </c>
      <c r="AO33" s="106">
        <v>4.5999999999999996</v>
      </c>
      <c r="AP33" s="106">
        <v>4.0999999999999996</v>
      </c>
      <c r="AQ33" s="106">
        <v>4.4000000000000004</v>
      </c>
      <c r="AR33" s="106">
        <v>5.5</v>
      </c>
      <c r="AS33" s="106"/>
      <c r="AT33" s="106"/>
      <c r="AU33" s="106"/>
      <c r="AV33" s="106"/>
      <c r="AW33" s="106"/>
      <c r="AX33" s="106"/>
      <c r="AY33" s="106"/>
      <c r="AZ33" s="106"/>
      <c r="BA33" s="106"/>
      <c r="BB33" s="106"/>
      <c r="BC33" s="106"/>
      <c r="BD33" s="106"/>
      <c r="BE33" s="106"/>
      <c r="BF33" s="106"/>
      <c r="BG33" s="106"/>
      <c r="BH33" s="106"/>
      <c r="BI33" s="106"/>
      <c r="BJ33" s="106"/>
      <c r="BK33" s="106"/>
      <c r="BL33" s="106"/>
      <c r="BM33" s="106"/>
      <c r="BN33" s="106"/>
      <c r="BO33" s="106"/>
      <c r="BP33" s="106"/>
      <c r="BQ33" s="106"/>
      <c r="BR33" s="106"/>
      <c r="BS33" s="106"/>
      <c r="BT33" s="106"/>
      <c r="BU33" s="106"/>
      <c r="BV33" s="59"/>
      <c r="BW33" s="59"/>
      <c r="BX33" s="106"/>
      <c r="BY33" s="106"/>
      <c r="BZ33" s="106"/>
      <c r="CA33" s="106"/>
      <c r="CB33" s="106"/>
      <c r="CC33" s="106"/>
      <c r="CD33" s="106"/>
    </row>
    <row r="34" spans="1:82" s="30" customFormat="1" ht="12.75" customHeight="1" x14ac:dyDescent="0.55000000000000004">
      <c r="A34" s="87"/>
      <c r="C34" s="97" t="s">
        <v>204</v>
      </c>
      <c r="J34" s="59"/>
      <c r="K34" s="59"/>
      <c r="L34" s="59"/>
      <c r="M34" s="59"/>
      <c r="N34" s="59"/>
      <c r="O34" s="59"/>
      <c r="P34" s="59"/>
      <c r="Q34" s="59"/>
      <c r="R34" s="59"/>
      <c r="S34" s="59"/>
      <c r="T34" s="59"/>
      <c r="U34" s="59"/>
      <c r="V34" s="59"/>
      <c r="W34" s="59"/>
      <c r="X34" s="59">
        <v>15.195</v>
      </c>
      <c r="Y34" s="59"/>
      <c r="Z34" s="68">
        <v>12.8</v>
      </c>
      <c r="AA34" s="68">
        <v>14.1</v>
      </c>
      <c r="AB34" s="68">
        <v>13.8</v>
      </c>
      <c r="AC34" s="59">
        <v>14.6</v>
      </c>
      <c r="AD34" s="59">
        <v>14.5</v>
      </c>
      <c r="AE34" s="59">
        <v>13.7</v>
      </c>
      <c r="AF34" s="59"/>
      <c r="AG34" s="59"/>
      <c r="AH34" s="59">
        <v>14.7</v>
      </c>
      <c r="AI34" s="59">
        <v>15.4</v>
      </c>
      <c r="AJ34" s="59">
        <v>17.8</v>
      </c>
      <c r="AK34" s="59">
        <v>18.399999999999999</v>
      </c>
      <c r="AL34" s="59">
        <v>16.399999999999999</v>
      </c>
      <c r="AM34" s="59">
        <v>21.8</v>
      </c>
      <c r="AN34" s="59">
        <v>19</v>
      </c>
      <c r="AO34" s="59">
        <v>18.2</v>
      </c>
      <c r="AP34" s="59">
        <v>16.899999999999999</v>
      </c>
      <c r="AQ34" s="59">
        <v>15.3</v>
      </c>
      <c r="AR34" s="59">
        <v>15.1</v>
      </c>
      <c r="AS34" s="59"/>
      <c r="AT34" s="59"/>
      <c r="AU34" s="59"/>
      <c r="AV34" s="59"/>
      <c r="AW34" s="59"/>
      <c r="AX34" s="59"/>
      <c r="AY34" s="59"/>
      <c r="AZ34" s="59"/>
      <c r="BA34" s="59"/>
      <c r="BB34" s="59"/>
      <c r="BC34" s="59"/>
      <c r="BD34" s="59"/>
      <c r="BE34" s="59"/>
      <c r="BF34" s="59"/>
      <c r="BG34" s="59"/>
      <c r="BH34" s="59"/>
      <c r="BI34" s="59"/>
      <c r="BJ34" s="59"/>
      <c r="BK34" s="59"/>
      <c r="BL34" s="59"/>
      <c r="BM34" s="59"/>
      <c r="BN34" s="59"/>
      <c r="BO34" s="59"/>
      <c r="BP34" s="59"/>
      <c r="BQ34" s="59"/>
      <c r="BR34" s="59"/>
      <c r="BS34" s="59"/>
      <c r="BT34" s="59"/>
      <c r="BU34" s="59"/>
      <c r="BV34" s="59"/>
      <c r="BW34" s="59"/>
      <c r="BX34" s="59"/>
      <c r="BY34" s="59"/>
      <c r="BZ34" s="59"/>
      <c r="CA34" s="59"/>
      <c r="CB34" s="59"/>
      <c r="CC34" s="59"/>
      <c r="CD34" s="59"/>
    </row>
    <row r="35" spans="1:82" s="30" customFormat="1" ht="12.75" customHeight="1" x14ac:dyDescent="0.55000000000000004">
      <c r="A35" s="87"/>
      <c r="C35" s="97" t="s">
        <v>205</v>
      </c>
      <c r="J35" s="59"/>
      <c r="K35" s="59"/>
      <c r="L35" s="59"/>
      <c r="M35" s="59"/>
      <c r="N35" s="59"/>
      <c r="O35" s="59"/>
      <c r="P35" s="59"/>
      <c r="Q35" s="59"/>
      <c r="R35" s="59"/>
      <c r="S35" s="59"/>
      <c r="T35" s="59"/>
      <c r="U35" s="59"/>
      <c r="V35" s="59"/>
      <c r="W35" s="59"/>
      <c r="X35" s="59">
        <v>1.1579999999999999</v>
      </c>
      <c r="Y35" s="59"/>
      <c r="Z35" s="59">
        <v>0.89</v>
      </c>
      <c r="AA35" s="59">
        <v>0.77</v>
      </c>
      <c r="AB35" s="59">
        <v>1.1000000000000001</v>
      </c>
      <c r="AC35" s="59">
        <v>1.1000000000000001</v>
      </c>
      <c r="AD35" s="59">
        <v>1.2</v>
      </c>
      <c r="AE35" s="59">
        <v>1.1000000000000001</v>
      </c>
      <c r="AF35" s="59"/>
      <c r="AG35" s="59"/>
      <c r="AH35" s="59">
        <v>1.8</v>
      </c>
      <c r="AI35" s="59">
        <v>1.9</v>
      </c>
      <c r="AJ35" s="59">
        <v>1.7</v>
      </c>
      <c r="AK35" s="59">
        <v>1.5</v>
      </c>
      <c r="AL35" s="59">
        <v>2</v>
      </c>
      <c r="AM35" s="59">
        <v>2.5</v>
      </c>
      <c r="AN35" s="59">
        <v>2.6</v>
      </c>
      <c r="AO35" s="59">
        <v>2.6</v>
      </c>
      <c r="AP35" s="59">
        <v>3</v>
      </c>
      <c r="AQ35" s="59">
        <v>2.4</v>
      </c>
      <c r="AR35" s="59">
        <v>2</v>
      </c>
      <c r="AS35" s="59"/>
      <c r="AT35" s="59"/>
      <c r="AU35" s="59"/>
      <c r="AV35" s="59"/>
      <c r="AW35" s="59"/>
      <c r="AX35" s="59"/>
      <c r="AY35" s="59"/>
      <c r="AZ35" s="59"/>
      <c r="BA35" s="59"/>
      <c r="BB35" s="59"/>
      <c r="BC35" s="59"/>
      <c r="BD35" s="59"/>
      <c r="BE35" s="59"/>
      <c r="BF35" s="59"/>
      <c r="BG35" s="59"/>
      <c r="BH35" s="59"/>
      <c r="BI35" s="59"/>
      <c r="BJ35" s="59"/>
      <c r="BK35" s="59"/>
      <c r="BL35" s="59"/>
      <c r="BM35" s="59"/>
      <c r="BN35" s="59"/>
      <c r="BO35" s="59"/>
      <c r="BP35" s="59"/>
      <c r="BQ35" s="59"/>
      <c r="BR35" s="59"/>
      <c r="BS35" s="59"/>
      <c r="BT35" s="59"/>
      <c r="BU35" s="59"/>
      <c r="BV35" s="59"/>
      <c r="BW35" s="59"/>
      <c r="BX35" s="59"/>
      <c r="BY35" s="59"/>
      <c r="BZ35" s="59"/>
      <c r="CA35" s="59"/>
      <c r="CB35" s="59"/>
      <c r="CC35" s="59"/>
      <c r="CD35" s="59"/>
    </row>
    <row r="36" spans="1:82" ht="12.75" customHeight="1" x14ac:dyDescent="0.5">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row>
    <row r="37" spans="1:82" ht="12.75" customHeight="1" x14ac:dyDescent="0.5">
      <c r="C37" s="98" t="s">
        <v>206</v>
      </c>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155"/>
      <c r="BX37" s="56"/>
      <c r="BY37" s="56"/>
      <c r="BZ37" s="56"/>
      <c r="CA37" s="56"/>
      <c r="CB37" s="56"/>
      <c r="CC37" s="56"/>
      <c r="CD37" s="56"/>
    </row>
    <row r="38" spans="1:82" s="88" customFormat="1" ht="12.75" customHeight="1" x14ac:dyDescent="0.55000000000000004">
      <c r="A38" s="66" t="s">
        <v>187</v>
      </c>
      <c r="B38" s="88" t="s">
        <v>207</v>
      </c>
      <c r="C38" s="99" t="s">
        <v>208</v>
      </c>
      <c r="J38" s="106"/>
      <c r="K38" s="106"/>
      <c r="L38" s="106"/>
      <c r="M38" s="106"/>
      <c r="N38" s="106"/>
      <c r="O38" s="106"/>
      <c r="P38" s="59"/>
      <c r="Q38" s="68"/>
      <c r="R38" s="68"/>
      <c r="S38" s="68"/>
      <c r="T38" s="68"/>
      <c r="U38" s="68"/>
      <c r="V38" s="68"/>
      <c r="W38" s="76"/>
      <c r="X38" s="106"/>
      <c r="Y38" s="106"/>
      <c r="Z38" s="68">
        <v>90</v>
      </c>
      <c r="AA38" s="68"/>
      <c r="AB38" s="68"/>
      <c r="AC38" s="59"/>
      <c r="AD38" s="59"/>
      <c r="AE38" s="59"/>
      <c r="AF38" s="59"/>
      <c r="AG38" s="59"/>
      <c r="AH38" s="59"/>
      <c r="AI38" s="59"/>
      <c r="AJ38" s="59">
        <v>139</v>
      </c>
      <c r="AK38" s="59"/>
      <c r="AL38" s="59"/>
      <c r="AM38" s="59"/>
      <c r="AN38" s="59">
        <v>148</v>
      </c>
      <c r="AO38" s="59">
        <v>147.5</v>
      </c>
      <c r="AP38" s="59">
        <v>157.80000000000001</v>
      </c>
      <c r="AQ38" s="59">
        <v>180.9</v>
      </c>
      <c r="AR38" s="59">
        <v>200.9</v>
      </c>
      <c r="AS38" s="165"/>
      <c r="AT38" s="59">
        <v>215</v>
      </c>
      <c r="AU38" s="178"/>
      <c r="AV38" s="178"/>
      <c r="AW38" s="178"/>
      <c r="AX38" s="59">
        <v>261</v>
      </c>
      <c r="AY38" s="178"/>
      <c r="AZ38" s="178"/>
      <c r="BA38" s="59">
        <v>299</v>
      </c>
      <c r="BB38" s="178"/>
      <c r="BC38" s="178"/>
      <c r="BD38" s="178"/>
      <c r="BE38" s="178"/>
      <c r="BF38" s="59">
        <v>355</v>
      </c>
      <c r="BG38" s="106">
        <v>316</v>
      </c>
      <c r="BH38" s="106"/>
      <c r="BI38" s="178"/>
      <c r="BJ38" s="106">
        <v>285.60000000000002</v>
      </c>
      <c r="BK38" s="106">
        <v>270.60000000000002</v>
      </c>
      <c r="BL38" s="106">
        <v>263.2</v>
      </c>
      <c r="BM38" s="106">
        <v>259.8</v>
      </c>
      <c r="BN38" s="106">
        <v>257.10000000000002</v>
      </c>
      <c r="BO38" s="106">
        <v>265.10000000000002</v>
      </c>
      <c r="BP38" s="106">
        <v>272.5</v>
      </c>
      <c r="BQ38" s="106">
        <v>282</v>
      </c>
      <c r="BR38" s="106">
        <v>287</v>
      </c>
      <c r="BS38" s="106"/>
      <c r="BT38" s="178"/>
      <c r="BU38" s="178"/>
      <c r="BV38" s="178"/>
      <c r="BW38" s="106">
        <v>310</v>
      </c>
      <c r="BX38" s="106"/>
      <c r="BY38" s="106"/>
      <c r="BZ38" s="106"/>
      <c r="CA38" s="106"/>
      <c r="CB38" s="106"/>
      <c r="CC38" s="106"/>
      <c r="CD38" s="106">
        <v>435</v>
      </c>
    </row>
    <row r="39" spans="1:82" s="30" customFormat="1" ht="12.75" customHeight="1" x14ac:dyDescent="0.55000000000000004">
      <c r="A39" s="87"/>
      <c r="C39" s="9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68"/>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59"/>
      <c r="BP39" s="59"/>
      <c r="BQ39" s="59"/>
      <c r="BR39" s="59"/>
      <c r="BS39" s="59"/>
      <c r="BT39" s="59"/>
      <c r="BU39" s="59"/>
      <c r="BV39" s="59"/>
      <c r="BW39" s="59"/>
      <c r="BX39" s="59"/>
      <c r="BY39" s="59"/>
      <c r="BZ39" s="59"/>
      <c r="CA39" s="59"/>
      <c r="CB39" s="59"/>
      <c r="CC39" s="59"/>
      <c r="CD39" s="59"/>
    </row>
    <row r="40" spans="1:82" s="30" customFormat="1" ht="12.75" customHeight="1" x14ac:dyDescent="0.55000000000000004">
      <c r="A40" s="87"/>
      <c r="B40" s="87" t="s">
        <v>209</v>
      </c>
      <c r="C40" s="99" t="s">
        <v>210</v>
      </c>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68"/>
      <c r="AN40" s="59">
        <v>152.30000000000001</v>
      </c>
      <c r="AO40" s="68"/>
      <c r="AP40" s="68"/>
      <c r="AQ40" s="68"/>
      <c r="AR40" s="68"/>
      <c r="AS40" s="68"/>
      <c r="AT40" s="59">
        <v>217.6</v>
      </c>
      <c r="AU40" s="59">
        <v>244.9</v>
      </c>
      <c r="AV40" s="59">
        <v>256.29999999999995</v>
      </c>
      <c r="AW40" s="59">
        <v>268.79999999999995</v>
      </c>
      <c r="AX40" s="59">
        <v>261.2</v>
      </c>
      <c r="AY40" s="59">
        <v>148.10000000000002</v>
      </c>
      <c r="AZ40" s="59">
        <v>128.80000000000001</v>
      </c>
      <c r="BA40" s="59">
        <v>136</v>
      </c>
      <c r="BB40" s="59"/>
      <c r="BC40" s="59"/>
      <c r="BD40" s="59"/>
      <c r="BE40" s="59"/>
      <c r="BF40" s="59"/>
      <c r="BG40" s="59"/>
      <c r="BH40" s="59"/>
      <c r="BI40" s="59"/>
      <c r="BJ40" s="59"/>
      <c r="BK40" s="59"/>
      <c r="BL40" s="59"/>
      <c r="BM40" s="59"/>
      <c r="BN40" s="59"/>
      <c r="BO40" s="59"/>
      <c r="BP40" s="59"/>
      <c r="BQ40" s="59"/>
      <c r="BR40" s="59"/>
      <c r="BS40" s="59"/>
      <c r="BT40" s="59"/>
      <c r="BU40" s="59"/>
      <c r="BV40" s="59"/>
      <c r="BW40" s="59"/>
      <c r="BX40" s="59"/>
      <c r="BY40" s="59"/>
      <c r="BZ40" s="59"/>
      <c r="CA40" s="59"/>
      <c r="CB40" s="59"/>
      <c r="CC40" s="59"/>
      <c r="CD40" s="59"/>
    </row>
    <row r="41" spans="1:82" s="30" customFormat="1" ht="12.75" customHeight="1" x14ac:dyDescent="0.55000000000000004">
      <c r="A41" s="87"/>
      <c r="C41" s="94" t="s">
        <v>211</v>
      </c>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68"/>
      <c r="AN41" s="59">
        <v>61.2</v>
      </c>
      <c r="AO41" s="59"/>
      <c r="AP41" s="59"/>
      <c r="AQ41" s="59"/>
      <c r="AR41" s="59"/>
      <c r="AS41" s="59"/>
      <c r="AT41" s="59">
        <v>67.5</v>
      </c>
      <c r="AU41" s="59">
        <v>85.5</v>
      </c>
      <c r="AV41" s="59">
        <v>88.6</v>
      </c>
      <c r="AW41" s="59">
        <v>91.6</v>
      </c>
      <c r="AX41" s="59">
        <v>88.3</v>
      </c>
      <c r="AY41" s="59">
        <v>109.4</v>
      </c>
      <c r="AZ41" s="59">
        <v>96.5</v>
      </c>
      <c r="BA41" s="59">
        <v>105</v>
      </c>
      <c r="BB41" s="59"/>
      <c r="BC41" s="59"/>
      <c r="BD41" s="59"/>
      <c r="BE41" s="59"/>
      <c r="BF41" s="59"/>
      <c r="BG41" s="59"/>
      <c r="BH41" s="59"/>
      <c r="BI41" s="59"/>
      <c r="BJ41" s="59"/>
      <c r="BK41" s="59"/>
      <c r="BL41" s="59"/>
      <c r="BM41" s="59"/>
      <c r="BN41" s="59"/>
      <c r="BO41" s="59"/>
      <c r="BP41" s="59"/>
      <c r="BQ41" s="59"/>
      <c r="BR41" s="59"/>
      <c r="BS41" s="59"/>
      <c r="BT41" s="59"/>
      <c r="BU41" s="59"/>
      <c r="BV41" s="59"/>
      <c r="BW41" s="59"/>
      <c r="BX41" s="59"/>
      <c r="BY41" s="59"/>
      <c r="BZ41" s="59"/>
      <c r="CA41" s="59"/>
      <c r="CB41" s="59"/>
      <c r="CC41" s="59"/>
      <c r="CD41" s="59"/>
    </row>
    <row r="42" spans="1:82" s="30" customFormat="1" ht="12.75" customHeight="1" x14ac:dyDescent="0.55000000000000004">
      <c r="A42" s="87"/>
      <c r="C42" s="94" t="s">
        <v>212</v>
      </c>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68"/>
      <c r="AN42" s="59">
        <v>91.1</v>
      </c>
      <c r="AO42" s="59"/>
      <c r="AP42" s="59"/>
      <c r="AQ42" s="59"/>
      <c r="AR42" s="59"/>
      <c r="AS42" s="59"/>
      <c r="AT42" s="59">
        <v>150.1</v>
      </c>
      <c r="AU42" s="59">
        <v>159.4</v>
      </c>
      <c r="AV42" s="59">
        <v>167.7</v>
      </c>
      <c r="AW42" s="59">
        <v>177.2</v>
      </c>
      <c r="AX42" s="59">
        <v>172.9</v>
      </c>
      <c r="AY42" s="59">
        <v>38.700000000000003</v>
      </c>
      <c r="AZ42" s="59">
        <v>32.299999999999997</v>
      </c>
      <c r="BA42" s="59">
        <v>31</v>
      </c>
      <c r="BB42" s="59"/>
      <c r="BC42" s="59"/>
      <c r="BD42" s="59"/>
      <c r="BE42" s="59"/>
      <c r="BF42" s="59"/>
      <c r="BG42" s="59"/>
      <c r="BH42" s="59"/>
      <c r="BI42" s="59"/>
      <c r="BJ42" s="59"/>
      <c r="BK42" s="59"/>
      <c r="BL42" s="59"/>
      <c r="BM42" s="59"/>
      <c r="BN42" s="59"/>
      <c r="BO42" s="59"/>
      <c r="BP42" s="59"/>
      <c r="BQ42" s="59"/>
      <c r="BR42" s="59"/>
      <c r="BS42" s="59"/>
      <c r="BT42" s="59"/>
      <c r="BU42" s="59"/>
      <c r="BV42" s="59"/>
      <c r="BW42" s="59"/>
      <c r="BX42" s="59"/>
      <c r="BY42" s="59"/>
      <c r="BZ42" s="59"/>
      <c r="CA42" s="59"/>
      <c r="CB42" s="59"/>
      <c r="CC42" s="59"/>
      <c r="CD42" s="59"/>
    </row>
    <row r="43" spans="1:82" s="30" customFormat="1" ht="12.75" customHeight="1" x14ac:dyDescent="0.55000000000000004">
      <c r="A43" s="87"/>
      <c r="C43" s="99"/>
      <c r="J43" s="59"/>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59"/>
      <c r="BP43" s="59"/>
      <c r="BQ43" s="59"/>
      <c r="BR43" s="59"/>
      <c r="BS43" s="59"/>
      <c r="BT43" s="59"/>
      <c r="BU43" s="59"/>
      <c r="BV43" s="59"/>
      <c r="BW43" s="59"/>
      <c r="BX43" s="59"/>
      <c r="BY43" s="59"/>
      <c r="BZ43" s="59"/>
      <c r="CA43" s="59"/>
      <c r="CB43" s="59"/>
      <c r="CC43" s="59"/>
      <c r="CD43" s="59"/>
    </row>
    <row r="44" spans="1:82" s="30" customFormat="1" ht="12.75" customHeight="1" x14ac:dyDescent="0.55000000000000004">
      <c r="A44" s="87"/>
      <c r="B44" s="87" t="s">
        <v>213</v>
      </c>
      <c r="C44" s="99" t="s">
        <v>214</v>
      </c>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v>155.19999999999999</v>
      </c>
      <c r="AP44" s="59"/>
      <c r="AQ44" s="59"/>
      <c r="AR44" s="59"/>
      <c r="AS44" s="59">
        <v>242</v>
      </c>
      <c r="AT44" s="59">
        <v>286</v>
      </c>
      <c r="AU44" s="59">
        <v>289</v>
      </c>
      <c r="AV44" s="59">
        <v>352</v>
      </c>
      <c r="AW44" s="59"/>
      <c r="AX44" s="59"/>
      <c r="AY44" s="59"/>
      <c r="AZ44" s="59"/>
      <c r="BA44" s="59"/>
      <c r="BB44" s="59"/>
      <c r="BC44" s="59"/>
      <c r="BD44" s="59"/>
      <c r="BE44" s="59"/>
      <c r="BF44" s="59"/>
      <c r="BG44" s="59"/>
      <c r="BH44" s="59"/>
      <c r="BI44" s="59"/>
      <c r="BJ44" s="59"/>
      <c r="BK44" s="59"/>
      <c r="BL44" s="59"/>
      <c r="BM44" s="59"/>
      <c r="BN44" s="59"/>
      <c r="BO44" s="59"/>
      <c r="BP44" s="59"/>
      <c r="BQ44" s="59"/>
      <c r="BR44" s="59"/>
      <c r="BS44" s="59"/>
      <c r="BT44" s="59"/>
      <c r="BU44" s="59"/>
      <c r="BV44" s="59"/>
      <c r="BW44" s="59"/>
      <c r="BX44" s="59"/>
      <c r="BY44" s="59"/>
      <c r="BZ44" s="59"/>
      <c r="CA44" s="59"/>
      <c r="CB44" s="59"/>
      <c r="CC44" s="59"/>
      <c r="CD44" s="59"/>
    </row>
    <row r="45" spans="1:82" s="30" customFormat="1" ht="12.75" customHeight="1" x14ac:dyDescent="0.55000000000000004">
      <c r="A45" s="87"/>
      <c r="C45" s="94" t="s">
        <v>215</v>
      </c>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v>44.6</v>
      </c>
      <c r="AP45" s="59"/>
      <c r="AQ45" s="59"/>
      <c r="AR45" s="59"/>
      <c r="AS45" s="59">
        <v>81</v>
      </c>
      <c r="AT45" s="59">
        <v>91</v>
      </c>
      <c r="AU45" s="59">
        <v>85</v>
      </c>
      <c r="AV45" s="59">
        <v>89</v>
      </c>
      <c r="AW45" s="59"/>
      <c r="AX45" s="59"/>
      <c r="AY45" s="59"/>
      <c r="AZ45" s="59"/>
      <c r="BA45" s="59"/>
      <c r="BB45" s="59"/>
      <c r="BC45" s="59"/>
      <c r="BD45" s="59"/>
      <c r="BE45" s="59"/>
      <c r="BF45" s="59"/>
      <c r="BG45" s="59"/>
      <c r="BH45" s="59"/>
      <c r="BI45" s="59"/>
      <c r="BJ45" s="59"/>
      <c r="BK45" s="59"/>
      <c r="BL45" s="59"/>
      <c r="BM45" s="59"/>
      <c r="BN45" s="59"/>
      <c r="BO45" s="59"/>
      <c r="BP45" s="59"/>
      <c r="BQ45" s="59"/>
      <c r="BR45" s="59"/>
      <c r="BS45" s="59"/>
      <c r="BT45" s="59"/>
      <c r="BU45" s="59"/>
      <c r="BV45" s="59"/>
      <c r="BW45" s="59"/>
      <c r="BX45" s="59"/>
      <c r="BY45" s="59"/>
      <c r="BZ45" s="59"/>
      <c r="CA45" s="59"/>
      <c r="CB45" s="59"/>
      <c r="CC45" s="59"/>
      <c r="CD45" s="59"/>
    </row>
    <row r="46" spans="1:82" s="30" customFormat="1" ht="12.75" customHeight="1" x14ac:dyDescent="0.55000000000000004">
      <c r="A46" s="87"/>
      <c r="C46" s="94" t="s">
        <v>216</v>
      </c>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v>110.6</v>
      </c>
      <c r="AP46" s="59"/>
      <c r="AQ46" s="59"/>
      <c r="AR46" s="59"/>
      <c r="AS46" s="59">
        <v>161</v>
      </c>
      <c r="AT46" s="59">
        <v>195</v>
      </c>
      <c r="AU46" s="59">
        <v>204</v>
      </c>
      <c r="AV46" s="59">
        <v>263</v>
      </c>
      <c r="AW46" s="59"/>
      <c r="AX46" s="59"/>
      <c r="AY46" s="59"/>
      <c r="AZ46" s="59"/>
      <c r="BA46" s="59"/>
      <c r="BB46" s="59"/>
      <c r="BC46" s="59"/>
      <c r="BD46" s="59"/>
      <c r="BE46" s="59"/>
      <c r="BF46" s="59"/>
      <c r="BG46" s="59"/>
      <c r="BH46" s="59"/>
      <c r="BI46" s="59"/>
      <c r="BJ46" s="59"/>
      <c r="BK46" s="59"/>
      <c r="BL46" s="59"/>
      <c r="BM46" s="59"/>
      <c r="BN46" s="59"/>
      <c r="BO46" s="59"/>
      <c r="BP46" s="59"/>
      <c r="BQ46" s="59"/>
      <c r="BR46" s="59"/>
      <c r="BS46" s="59"/>
      <c r="BT46" s="59"/>
      <c r="BU46" s="59"/>
      <c r="BV46" s="59"/>
      <c r="BW46" s="59"/>
      <c r="BX46" s="59"/>
      <c r="BY46" s="59"/>
      <c r="BZ46" s="59"/>
      <c r="CA46" s="59"/>
      <c r="CB46" s="59"/>
      <c r="CC46" s="59"/>
      <c r="CD46" s="59"/>
    </row>
    <row r="47" spans="1:82" s="30" customFormat="1" ht="12.75" customHeight="1" x14ac:dyDescent="0.55000000000000004">
      <c r="A47" s="87"/>
      <c r="C47" s="9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59"/>
      <c r="BP47" s="59"/>
      <c r="BQ47" s="59"/>
      <c r="BR47" s="59"/>
      <c r="BS47" s="59"/>
      <c r="BT47" s="59"/>
      <c r="BU47" s="59"/>
      <c r="BV47" s="59"/>
      <c r="BW47" s="59"/>
      <c r="BX47" s="59"/>
      <c r="BY47" s="59"/>
      <c r="BZ47" s="59"/>
      <c r="CA47" s="59"/>
      <c r="CB47" s="59"/>
      <c r="CC47" s="59"/>
      <c r="CD47" s="59"/>
    </row>
    <row r="48" spans="1:82" s="30" customFormat="1" ht="12.75" customHeight="1" x14ac:dyDescent="0.55000000000000004">
      <c r="A48" s="87"/>
      <c r="B48" s="87" t="s">
        <v>217</v>
      </c>
      <c r="C48" s="99" t="s">
        <v>218</v>
      </c>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v>93.3</v>
      </c>
      <c r="AJ48" s="59">
        <v>94.9</v>
      </c>
      <c r="AK48" s="59">
        <v>96.6</v>
      </c>
      <c r="AL48" s="59">
        <v>104.1</v>
      </c>
      <c r="AM48" s="59">
        <v>123.9</v>
      </c>
      <c r="AN48" s="59">
        <v>103</v>
      </c>
      <c r="AO48" s="59">
        <v>106.7</v>
      </c>
      <c r="AP48" s="59">
        <v>117.7</v>
      </c>
      <c r="AQ48" s="59">
        <v>141</v>
      </c>
      <c r="AR48" s="59">
        <v>177.7</v>
      </c>
      <c r="AS48" s="59">
        <v>182</v>
      </c>
      <c r="AT48" s="59">
        <v>209.5</v>
      </c>
      <c r="AU48" s="59">
        <v>220.2</v>
      </c>
      <c r="AV48" s="59">
        <v>231.5</v>
      </c>
      <c r="AW48" s="59">
        <v>258.60000000000002</v>
      </c>
      <c r="AX48" s="59">
        <v>268.60000000000002</v>
      </c>
      <c r="AY48" s="59">
        <v>270.3</v>
      </c>
      <c r="AZ48" s="59"/>
      <c r="BA48" s="59"/>
      <c r="BB48" s="59"/>
      <c r="BC48" s="59"/>
      <c r="BD48" s="59"/>
      <c r="BE48" s="59"/>
      <c r="BF48" s="59"/>
      <c r="BG48" s="59"/>
      <c r="BH48" s="59"/>
      <c r="BI48" s="59"/>
      <c r="BJ48" s="59"/>
      <c r="BK48" s="59"/>
      <c r="BL48" s="59"/>
      <c r="BM48" s="59"/>
      <c r="BN48" s="59"/>
      <c r="BO48" s="59"/>
      <c r="BP48" s="59"/>
      <c r="BQ48" s="59"/>
      <c r="BR48" s="59"/>
      <c r="BS48" s="59"/>
      <c r="BT48" s="59"/>
      <c r="BU48" s="59"/>
      <c r="BV48" s="59"/>
      <c r="BW48" s="59"/>
      <c r="BX48" s="59"/>
      <c r="BY48" s="59"/>
      <c r="BZ48" s="59"/>
      <c r="CA48" s="59"/>
      <c r="CB48" s="59"/>
      <c r="CC48" s="59"/>
      <c r="CD48" s="59"/>
    </row>
    <row r="49" spans="1:82" s="30" customFormat="1" ht="12.75" customHeight="1" x14ac:dyDescent="0.55000000000000004">
      <c r="A49" s="87"/>
      <c r="B49" s="87" t="s">
        <v>219</v>
      </c>
      <c r="C49" s="99" t="s">
        <v>218</v>
      </c>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v>178</v>
      </c>
      <c r="AS49" s="59">
        <v>182</v>
      </c>
      <c r="AT49" s="59">
        <v>204</v>
      </c>
      <c r="AU49" s="59">
        <v>220</v>
      </c>
      <c r="AV49" s="59">
        <v>232</v>
      </c>
      <c r="AW49" s="59">
        <v>218</v>
      </c>
      <c r="AX49" s="59">
        <v>280</v>
      </c>
      <c r="AY49" s="59">
        <v>257</v>
      </c>
      <c r="AZ49" s="59">
        <v>258</v>
      </c>
      <c r="BA49" s="59">
        <v>259</v>
      </c>
      <c r="BB49" s="59">
        <v>255</v>
      </c>
      <c r="BC49" s="59"/>
      <c r="BD49" s="59"/>
      <c r="BE49" s="59"/>
      <c r="BF49" s="59"/>
      <c r="BG49" s="59"/>
      <c r="BH49" s="59"/>
      <c r="BI49" s="59"/>
      <c r="BJ49" s="59"/>
      <c r="BK49" s="59"/>
      <c r="BL49" s="59"/>
      <c r="BM49" s="59"/>
      <c r="BN49" s="59"/>
      <c r="BO49" s="59"/>
      <c r="BP49" s="59"/>
      <c r="BQ49" s="59"/>
      <c r="BR49" s="59"/>
      <c r="BS49" s="59"/>
      <c r="BT49" s="59"/>
      <c r="BU49" s="59"/>
      <c r="BV49" s="59"/>
      <c r="BW49" s="59"/>
      <c r="BX49" s="59"/>
      <c r="BY49" s="59"/>
      <c r="BZ49" s="59"/>
      <c r="CA49" s="59"/>
      <c r="CB49" s="59"/>
      <c r="CC49" s="59"/>
      <c r="CD49" s="59"/>
    </row>
    <row r="50" spans="1:82" s="30" customFormat="1" ht="12.75" customHeight="1" x14ac:dyDescent="0.55000000000000004">
      <c r="A50" s="87"/>
      <c r="C50" s="9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c r="BD50" s="59"/>
      <c r="BE50" s="59"/>
      <c r="BF50" s="59"/>
      <c r="BG50" s="59"/>
      <c r="BH50" s="59"/>
      <c r="BI50" s="59"/>
      <c r="BJ50" s="59"/>
      <c r="BK50" s="59"/>
      <c r="BL50" s="59"/>
      <c r="BM50" s="59"/>
      <c r="BN50" s="59"/>
      <c r="BO50" s="59"/>
      <c r="BP50" s="59"/>
      <c r="BQ50" s="59"/>
      <c r="BR50" s="59"/>
      <c r="BS50" s="59"/>
      <c r="BT50" s="59"/>
      <c r="BU50" s="59"/>
      <c r="BV50" s="59"/>
      <c r="BW50" s="59"/>
      <c r="BX50" s="59"/>
      <c r="BY50" s="59"/>
      <c r="BZ50" s="59"/>
      <c r="CA50" s="59"/>
      <c r="CB50" s="59"/>
      <c r="CC50" s="59"/>
      <c r="CD50" s="59"/>
    </row>
    <row r="51" spans="1:82" s="30" customFormat="1" ht="12.75" customHeight="1" x14ac:dyDescent="0.55000000000000004">
      <c r="A51" s="87"/>
      <c r="C51" s="99" t="s">
        <v>220</v>
      </c>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c r="BD51" s="59">
        <v>501</v>
      </c>
      <c r="BE51" s="59"/>
      <c r="BF51" s="59">
        <v>597</v>
      </c>
      <c r="BG51" s="59"/>
      <c r="BH51" s="59"/>
      <c r="BI51" s="59"/>
      <c r="BJ51" s="59"/>
      <c r="BK51" s="59"/>
      <c r="BL51" s="59"/>
      <c r="BM51" s="59">
        <v>423</v>
      </c>
      <c r="BN51" s="59">
        <v>433</v>
      </c>
      <c r="BO51" s="59"/>
      <c r="BP51" s="59"/>
      <c r="BQ51" s="59"/>
      <c r="BR51" s="59"/>
      <c r="BS51" s="59">
        <v>494</v>
      </c>
      <c r="BT51" s="59"/>
      <c r="BU51" s="59"/>
      <c r="BV51" s="59">
        <v>373</v>
      </c>
      <c r="BW51" s="59"/>
      <c r="BX51" s="59"/>
      <c r="BY51" s="59">
        <v>507</v>
      </c>
      <c r="BZ51" s="59"/>
      <c r="CA51" s="59">
        <v>580</v>
      </c>
      <c r="CB51" s="59"/>
      <c r="CC51" s="59"/>
      <c r="CD51" s="59"/>
    </row>
    <row r="52" spans="1:82" s="30" customFormat="1" ht="12.75" customHeight="1" x14ac:dyDescent="0.55000000000000004">
      <c r="A52" s="87"/>
      <c r="C52" s="94" t="s">
        <v>221</v>
      </c>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v>320</v>
      </c>
      <c r="BE52" s="59"/>
      <c r="BF52" s="59">
        <v>479</v>
      </c>
      <c r="BG52" s="59"/>
      <c r="BH52" s="59"/>
      <c r="BI52" s="59"/>
      <c r="BJ52" s="59"/>
      <c r="BK52" s="59"/>
      <c r="BL52" s="59"/>
      <c r="BM52" s="59">
        <v>345</v>
      </c>
      <c r="BN52" s="59">
        <v>325</v>
      </c>
      <c r="BO52" s="59"/>
      <c r="BP52" s="59"/>
      <c r="BQ52" s="59"/>
      <c r="BR52" s="59"/>
      <c r="BS52" s="59">
        <v>427</v>
      </c>
      <c r="BT52" s="59"/>
      <c r="BU52" s="59"/>
      <c r="BV52" s="59">
        <v>334</v>
      </c>
      <c r="BW52" s="59"/>
      <c r="BX52" s="59"/>
      <c r="BY52" s="59">
        <v>442</v>
      </c>
      <c r="BZ52" s="59"/>
      <c r="CA52" s="59">
        <v>521</v>
      </c>
      <c r="CB52" s="59"/>
      <c r="CC52" s="59"/>
      <c r="CD52" s="59"/>
    </row>
    <row r="53" spans="1:82" s="30" customFormat="1" ht="12.75" customHeight="1" x14ac:dyDescent="0.55000000000000004">
      <c r="A53" s="87"/>
      <c r="C53" s="94" t="s">
        <v>222</v>
      </c>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c r="BD53" s="59">
        <v>181</v>
      </c>
      <c r="BE53" s="59"/>
      <c r="BF53" s="59">
        <v>118</v>
      </c>
      <c r="BG53" s="59"/>
      <c r="BH53" s="59"/>
      <c r="BI53" s="59"/>
      <c r="BJ53" s="59"/>
      <c r="BK53" s="59"/>
      <c r="BL53" s="59"/>
      <c r="BM53" s="59">
        <v>78</v>
      </c>
      <c r="BN53" s="59">
        <v>108</v>
      </c>
      <c r="BO53" s="59"/>
      <c r="BP53" s="59"/>
      <c r="BQ53" s="59"/>
      <c r="BR53" s="59"/>
      <c r="BS53" s="59">
        <v>67</v>
      </c>
      <c r="BT53" s="59"/>
      <c r="BU53" s="59"/>
      <c r="BV53" s="59">
        <v>39</v>
      </c>
      <c r="BW53" s="59"/>
      <c r="BX53" s="59"/>
      <c r="BY53" s="59">
        <v>65</v>
      </c>
      <c r="BZ53" s="59"/>
      <c r="CA53" s="59">
        <v>59</v>
      </c>
      <c r="CB53" s="59"/>
      <c r="CC53" s="59"/>
      <c r="CD53" s="59"/>
    </row>
    <row r="54" spans="1:82" s="30" customFormat="1" ht="12.75" customHeight="1" x14ac:dyDescent="0.55000000000000004">
      <c r="A54" s="87"/>
      <c r="C54" s="94"/>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c r="BD54" s="59"/>
      <c r="BE54" s="59"/>
      <c r="BF54" s="59"/>
      <c r="BG54" s="59"/>
      <c r="BH54" s="59"/>
      <c r="BI54" s="59"/>
      <c r="BJ54" s="59"/>
      <c r="BK54" s="59"/>
      <c r="BL54" s="59"/>
      <c r="BM54" s="59"/>
      <c r="BN54" s="59"/>
      <c r="BO54" s="59"/>
      <c r="BP54" s="59"/>
      <c r="BQ54" s="59"/>
      <c r="BR54" s="59"/>
      <c r="BS54" s="59"/>
      <c r="BT54" s="59"/>
      <c r="BU54" s="59"/>
      <c r="BV54" s="59"/>
      <c r="BW54" s="59"/>
      <c r="BX54" s="59"/>
      <c r="BY54" s="59"/>
      <c r="BZ54" s="59"/>
      <c r="CA54" s="59"/>
      <c r="CB54" s="59"/>
      <c r="CC54" s="59"/>
      <c r="CD54" s="59"/>
    </row>
    <row r="55" spans="1:82" s="30" customFormat="1" ht="12.75" customHeight="1" x14ac:dyDescent="0.55000000000000004">
      <c r="A55" s="87"/>
      <c r="C55" s="101" t="s">
        <v>223</v>
      </c>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59"/>
      <c r="AZ55" s="59"/>
      <c r="BA55" s="59"/>
      <c r="BB55" s="59"/>
      <c r="BC55" s="59"/>
      <c r="BD55" s="59"/>
      <c r="BE55" s="59"/>
      <c r="BF55" s="59"/>
      <c r="BG55" s="59"/>
      <c r="BH55" s="59"/>
      <c r="BI55" s="59"/>
      <c r="BJ55" s="59"/>
      <c r="BK55" s="59"/>
      <c r="BL55" s="59"/>
      <c r="BM55" s="59"/>
      <c r="BN55" s="59"/>
      <c r="BO55" s="59"/>
      <c r="BP55" s="59"/>
      <c r="BQ55" s="59"/>
      <c r="BR55" s="59"/>
      <c r="BS55" s="59"/>
      <c r="BT55" s="59"/>
      <c r="BU55" s="59"/>
      <c r="BV55" s="59"/>
      <c r="BW55" s="59"/>
      <c r="BX55" s="59"/>
      <c r="BY55" s="59"/>
      <c r="BZ55" s="59"/>
      <c r="CA55" s="59"/>
      <c r="CB55" s="59"/>
      <c r="CC55" s="59"/>
      <c r="CD55" s="59"/>
    </row>
    <row r="56" spans="1:82" s="30" customFormat="1" ht="12.75" customHeight="1" x14ac:dyDescent="0.55000000000000004">
      <c r="A56" s="66" t="s">
        <v>187</v>
      </c>
      <c r="B56" s="30" t="s">
        <v>86</v>
      </c>
      <c r="C56" s="30" t="s">
        <v>87</v>
      </c>
      <c r="J56" s="59"/>
      <c r="K56" s="59"/>
      <c r="L56" s="59"/>
      <c r="M56" s="59"/>
      <c r="N56" s="59"/>
      <c r="O56" s="59"/>
      <c r="P56" s="59"/>
      <c r="Q56" s="59"/>
      <c r="R56" s="59"/>
      <c r="S56" s="59"/>
      <c r="T56" s="59"/>
      <c r="U56" s="59"/>
      <c r="V56" s="59"/>
      <c r="W56" s="59"/>
      <c r="X56" s="59"/>
      <c r="Y56" s="59"/>
      <c r="Z56" s="59"/>
      <c r="AA56" s="59"/>
      <c r="AB56" s="59"/>
      <c r="AC56" s="59">
        <v>2</v>
      </c>
      <c r="AD56" s="59"/>
      <c r="AE56" s="59"/>
      <c r="AF56" s="59"/>
      <c r="AG56" s="59"/>
      <c r="AH56" s="59"/>
      <c r="AI56" s="59"/>
      <c r="AJ56" s="68">
        <v>10.35</v>
      </c>
      <c r="AK56" s="68">
        <v>11.1</v>
      </c>
      <c r="AL56" s="59"/>
      <c r="AM56" s="59">
        <v>11.6</v>
      </c>
      <c r="AN56" s="59">
        <v>14.6</v>
      </c>
      <c r="AO56" s="59">
        <v>14.6</v>
      </c>
      <c r="AP56" s="59">
        <v>14.6</v>
      </c>
      <c r="AQ56" s="59">
        <v>18.600000000000001</v>
      </c>
      <c r="AR56" s="59"/>
      <c r="AS56" s="59"/>
      <c r="AT56" s="59">
        <v>51.9</v>
      </c>
      <c r="AU56" s="59">
        <v>44.9</v>
      </c>
      <c r="AV56" s="59">
        <v>40.299999999999997</v>
      </c>
      <c r="AW56" s="59">
        <v>40.299999999999997</v>
      </c>
      <c r="AX56" s="59">
        <v>40.299999999999997</v>
      </c>
      <c r="AY56" s="59">
        <v>40.299999999999997</v>
      </c>
      <c r="AZ56" s="59">
        <v>40.299999999999997</v>
      </c>
      <c r="BA56" s="59"/>
      <c r="BB56" s="59">
        <v>40</v>
      </c>
      <c r="BC56" s="59">
        <v>46.7</v>
      </c>
      <c r="BD56" s="59">
        <v>46.8</v>
      </c>
      <c r="BE56" s="59">
        <v>46.8</v>
      </c>
      <c r="BF56" s="59">
        <v>46.8</v>
      </c>
      <c r="BG56" s="59">
        <v>49.5</v>
      </c>
      <c r="BH56" s="59">
        <v>49.6</v>
      </c>
      <c r="BI56" s="59">
        <v>34.6</v>
      </c>
      <c r="BJ56" s="59">
        <v>34.6</v>
      </c>
      <c r="BK56" s="59">
        <v>34</v>
      </c>
      <c r="BL56" s="59"/>
      <c r="BM56" s="59">
        <v>34</v>
      </c>
      <c r="BN56" s="59">
        <v>27</v>
      </c>
      <c r="BO56" s="59">
        <v>27</v>
      </c>
      <c r="BP56" s="59">
        <v>27</v>
      </c>
      <c r="BQ56" s="59"/>
      <c r="BR56" s="59"/>
      <c r="BS56" s="59">
        <v>27</v>
      </c>
      <c r="BT56" s="59"/>
      <c r="BU56" s="59">
        <v>27</v>
      </c>
      <c r="BV56" s="59"/>
      <c r="BW56" s="59">
        <v>27</v>
      </c>
      <c r="BX56" s="59"/>
      <c r="BY56" s="59">
        <v>27</v>
      </c>
      <c r="BZ56" s="59"/>
      <c r="CA56" s="59"/>
      <c r="CB56" s="59"/>
      <c r="CC56" s="59"/>
      <c r="CD56" s="59"/>
    </row>
    <row r="57" spans="1:82" ht="12.75" customHeight="1" x14ac:dyDescent="0.5">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c r="AO57" s="56"/>
      <c r="AP57" s="56"/>
      <c r="AQ57" s="56"/>
      <c r="AR57" s="56"/>
      <c r="AS57" s="181"/>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row>
    <row r="58" spans="1:82" s="30" customFormat="1" ht="12.75" customHeight="1" x14ac:dyDescent="0.55000000000000004">
      <c r="A58" s="87"/>
      <c r="C58" s="66" t="s">
        <v>224</v>
      </c>
      <c r="J58" s="59"/>
      <c r="K58" s="59"/>
      <c r="L58" s="59"/>
      <c r="M58" s="59"/>
      <c r="N58" s="59"/>
      <c r="O58" s="59">
        <v>5</v>
      </c>
      <c r="P58" s="59">
        <v>5.4</v>
      </c>
      <c r="Q58" s="59">
        <v>5.9</v>
      </c>
      <c r="R58" s="59">
        <v>5.9</v>
      </c>
      <c r="S58" s="59">
        <v>7.1</v>
      </c>
      <c r="T58" s="59">
        <v>7.9</v>
      </c>
      <c r="U58" s="59">
        <v>8.6</v>
      </c>
      <c r="V58" s="59">
        <v>9.1</v>
      </c>
      <c r="W58" s="59">
        <v>9.6999999999999993</v>
      </c>
      <c r="X58" s="59">
        <v>10.1</v>
      </c>
      <c r="Y58" s="59">
        <v>10.4</v>
      </c>
      <c r="Z58" s="59">
        <v>10.9</v>
      </c>
      <c r="AA58" s="59">
        <f>SUM(AA59:AA61)</f>
        <v>11.2</v>
      </c>
      <c r="AB58" s="59">
        <f>SUM(AB59:AB61)</f>
        <v>12.200000000000001</v>
      </c>
      <c r="AC58" s="165">
        <f>AB58*($AE58/$AB58)^(1/3)</f>
        <v>13.381819854454667</v>
      </c>
      <c r="AD58" s="165">
        <f>AC58*($AE58/$AB58)^(1/3)</f>
        <v>14.67812316533419</v>
      </c>
      <c r="AE58" s="59">
        <f t="shared" ref="AE58:BC58" si="1">SUM(AE59:AE61)</f>
        <v>16.100000000000001</v>
      </c>
      <c r="AF58" s="59">
        <f t="shared" si="1"/>
        <v>16.7</v>
      </c>
      <c r="AG58" s="59">
        <f t="shared" si="1"/>
        <v>18.3</v>
      </c>
      <c r="AH58" s="59">
        <f t="shared" si="1"/>
        <v>18.3</v>
      </c>
      <c r="AI58" s="59">
        <f t="shared" si="1"/>
        <v>19.700000000000003</v>
      </c>
      <c r="AJ58" s="59">
        <f t="shared" si="1"/>
        <v>21.8</v>
      </c>
      <c r="AK58" s="59">
        <f t="shared" si="1"/>
        <v>23.599999999999998</v>
      </c>
      <c r="AL58" s="59">
        <f t="shared" si="1"/>
        <v>25.400000000000002</v>
      </c>
      <c r="AM58" s="59">
        <f t="shared" si="1"/>
        <v>27.8</v>
      </c>
      <c r="AN58" s="59">
        <f t="shared" si="1"/>
        <v>31.499999999999996</v>
      </c>
      <c r="AO58" s="59">
        <f t="shared" si="1"/>
        <v>42.100000000000009</v>
      </c>
      <c r="AP58" s="59">
        <f t="shared" si="1"/>
        <v>48.499999999999993</v>
      </c>
      <c r="AQ58" s="59">
        <f t="shared" si="1"/>
        <v>67.000000000000014</v>
      </c>
      <c r="AR58" s="59">
        <f t="shared" si="1"/>
        <v>80.400000000000006</v>
      </c>
      <c r="AS58" s="59">
        <f t="shared" si="1"/>
        <v>83.3</v>
      </c>
      <c r="AT58" s="165">
        <f>AS58*($AV58/$AS58)^(1/3)</f>
        <v>86.042078831055704</v>
      </c>
      <c r="AU58" s="165">
        <f>AT58*($AV58/$AS58)^(1/3)</f>
        <v>88.874421723524662</v>
      </c>
      <c r="AV58" s="59">
        <f t="shared" si="1"/>
        <v>91.8</v>
      </c>
      <c r="AW58" s="59">
        <f t="shared" si="1"/>
        <v>93.6</v>
      </c>
      <c r="AX58" s="59">
        <f t="shared" si="1"/>
        <v>95.3</v>
      </c>
      <c r="AY58" s="59">
        <f t="shared" si="1"/>
        <v>97.8</v>
      </c>
      <c r="AZ58" s="59">
        <f t="shared" si="1"/>
        <v>98.7</v>
      </c>
      <c r="BA58" s="59">
        <f t="shared" si="1"/>
        <v>99.600000000000009</v>
      </c>
      <c r="BB58" s="59">
        <f t="shared" si="1"/>
        <v>100.60000000000001</v>
      </c>
      <c r="BC58" s="59">
        <f t="shared" si="1"/>
        <v>100.9</v>
      </c>
      <c r="BD58" s="165">
        <f>BC58*($BH58/$BC58)^(1/5)</f>
        <v>102.91398039619661</v>
      </c>
      <c r="BE58" s="165">
        <f>BD58*($BH58/$BC58)^(1/5)</f>
        <v>104.96816016837204</v>
      </c>
      <c r="BF58" s="165">
        <f>BE58*($BH58/$BC58)^(1/5)</f>
        <v>107.06334170260321</v>
      </c>
      <c r="BG58" s="165">
        <f>BF58*($BH58/$BC58)^(1/5)</f>
        <v>109.20034340072354</v>
      </c>
      <c r="BH58" s="59">
        <f t="shared" ref="BH58:BN58" si="2">SUM(BH59:BH61)</f>
        <v>111.38</v>
      </c>
      <c r="BI58" s="59">
        <f t="shared" si="2"/>
        <v>112.1</v>
      </c>
      <c r="BJ58" s="59">
        <f t="shared" si="2"/>
        <v>116.036</v>
      </c>
      <c r="BK58" s="59">
        <f t="shared" si="2"/>
        <v>112.63600000000001</v>
      </c>
      <c r="BL58" s="59">
        <f t="shared" si="2"/>
        <v>111.131</v>
      </c>
      <c r="BM58" s="174">
        <f t="shared" si="2"/>
        <v>112.1</v>
      </c>
      <c r="BN58" s="59">
        <f t="shared" si="2"/>
        <v>113.82100000000001</v>
      </c>
      <c r="BO58" s="59">
        <f>SUM(BO59:BO61)</f>
        <v>122.209</v>
      </c>
      <c r="BP58" s="59">
        <f>SUM(BP59:BP61)</f>
        <v>124.86</v>
      </c>
      <c r="BQ58" s="59">
        <f>SUM(BQ59:BQ61)</f>
        <v>131.273</v>
      </c>
      <c r="BR58" s="133">
        <f t="shared" ref="BR58:BZ58" si="3">SUM(BR59:BR61)</f>
        <v>144.13697705802969</v>
      </c>
      <c r="BS58" s="133">
        <f>SUM(BS59:BS61)</f>
        <v>163.61472915398662</v>
      </c>
      <c r="BT58" s="133">
        <f t="shared" si="3"/>
        <v>165.03496503496504</v>
      </c>
      <c r="BU58" s="133">
        <f t="shared" si="3"/>
        <v>171.94642857142856</v>
      </c>
      <c r="BV58" s="133">
        <f t="shared" si="3"/>
        <v>176.65565862708721</v>
      </c>
      <c r="BW58" s="133">
        <f t="shared" si="3"/>
        <v>188.43729096989966</v>
      </c>
      <c r="BX58" s="133">
        <f t="shared" si="3"/>
        <v>205.78839957035444</v>
      </c>
      <c r="BY58" s="133">
        <f t="shared" si="3"/>
        <v>222.05078929306796</v>
      </c>
      <c r="BZ58" s="133">
        <f t="shared" si="3"/>
        <v>234.34102564102562</v>
      </c>
      <c r="CA58" s="59"/>
      <c r="CB58" s="59"/>
      <c r="CC58" s="59"/>
      <c r="CD58" s="59"/>
    </row>
    <row r="59" spans="1:82" s="30" customFormat="1" ht="12.75" customHeight="1" x14ac:dyDescent="0.55000000000000004">
      <c r="A59" s="87"/>
      <c r="C59" s="84" t="s">
        <v>225</v>
      </c>
      <c r="J59" s="59"/>
      <c r="K59" s="59"/>
      <c r="L59" s="59"/>
      <c r="M59" s="59"/>
      <c r="N59" s="59"/>
      <c r="O59" s="59">
        <v>4.4000000000000004</v>
      </c>
      <c r="P59" s="59">
        <v>4.5</v>
      </c>
      <c r="Q59" s="59">
        <v>4.4000000000000004</v>
      </c>
      <c r="R59" s="59">
        <v>4.5999999999999996</v>
      </c>
      <c r="S59" s="59">
        <v>5.0999999999999996</v>
      </c>
      <c r="T59" s="59">
        <v>5.8</v>
      </c>
      <c r="U59" s="59">
        <v>6.3</v>
      </c>
      <c r="V59" s="59">
        <v>6.8</v>
      </c>
      <c r="W59" s="59">
        <v>7.7</v>
      </c>
      <c r="X59" s="59">
        <v>9.1999999999999993</v>
      </c>
      <c r="Y59" s="59">
        <v>9.4</v>
      </c>
      <c r="Z59" s="59">
        <v>9.9</v>
      </c>
      <c r="AA59" s="59">
        <v>10.199999999999999</v>
      </c>
      <c r="AB59" s="59">
        <v>11.1</v>
      </c>
      <c r="AC59" s="59"/>
      <c r="AD59" s="59"/>
      <c r="AE59" s="59">
        <v>14.8</v>
      </c>
      <c r="AF59" s="59">
        <v>15.3</v>
      </c>
      <c r="AG59" s="59">
        <v>16.8</v>
      </c>
      <c r="AH59" s="59">
        <v>16.600000000000001</v>
      </c>
      <c r="AI59" s="59">
        <v>17.8</v>
      </c>
      <c r="AJ59" s="68">
        <v>19.8</v>
      </c>
      <c r="AK59" s="68">
        <v>21.9</v>
      </c>
      <c r="AL59" s="59">
        <v>23.2</v>
      </c>
      <c r="AM59" s="59">
        <v>25.3</v>
      </c>
      <c r="AN59" s="59">
        <v>28.9</v>
      </c>
      <c r="AO59" s="59">
        <v>39.200000000000003</v>
      </c>
      <c r="AP59" s="59">
        <v>45.3</v>
      </c>
      <c r="AQ59" s="59">
        <v>63.7</v>
      </c>
      <c r="AR59" s="59">
        <v>77.3</v>
      </c>
      <c r="AS59" s="59">
        <v>81.2</v>
      </c>
      <c r="AT59" s="59"/>
      <c r="AU59" s="59"/>
      <c r="AV59" s="59">
        <v>89.6</v>
      </c>
      <c r="AW59" s="59">
        <v>91.1</v>
      </c>
      <c r="AX59" s="59">
        <v>92.6</v>
      </c>
      <c r="AY59" s="59">
        <v>94.8</v>
      </c>
      <c r="AZ59" s="59">
        <v>95.5</v>
      </c>
      <c r="BA59" s="59">
        <v>95.9</v>
      </c>
      <c r="BB59" s="59">
        <v>96.9</v>
      </c>
      <c r="BC59" s="59">
        <v>96.9</v>
      </c>
      <c r="BD59" s="59"/>
      <c r="BE59" s="59"/>
      <c r="BF59" s="59"/>
      <c r="BG59" s="59"/>
      <c r="BH59" s="59">
        <v>105.28</v>
      </c>
      <c r="BI59" s="59">
        <v>106</v>
      </c>
      <c r="BJ59" s="59">
        <v>109.93600000000001</v>
      </c>
      <c r="BK59" s="59">
        <v>106.43600000000001</v>
      </c>
      <c r="BL59" s="59">
        <v>103.73099999999999</v>
      </c>
      <c r="BM59" s="174">
        <v>104.5</v>
      </c>
      <c r="BN59" s="59">
        <v>105.92100000000001</v>
      </c>
      <c r="BO59" s="59">
        <v>112.10899999999999</v>
      </c>
      <c r="BP59" s="59">
        <v>114.66</v>
      </c>
      <c r="BQ59" s="59">
        <v>119.773</v>
      </c>
      <c r="BR59" s="133">
        <v>131.17543859649123</v>
      </c>
      <c r="BS59" s="133">
        <v>148.67924528301887</v>
      </c>
      <c r="BT59" s="133">
        <v>149.72727272727272</v>
      </c>
      <c r="BU59" s="133">
        <v>148.16071428571428</v>
      </c>
      <c r="BV59" s="133">
        <v>151.14545454545456</v>
      </c>
      <c r="BW59" s="133">
        <v>158.98076923076923</v>
      </c>
      <c r="BX59" s="133">
        <v>167.36734693877551</v>
      </c>
      <c r="BY59" s="133">
        <v>172.27659574468086</v>
      </c>
      <c r="BZ59" s="133">
        <v>178.53333333333333</v>
      </c>
      <c r="CA59" s="59"/>
      <c r="CB59" s="59"/>
      <c r="CC59" s="59"/>
      <c r="CD59" s="59"/>
    </row>
    <row r="60" spans="1:82" s="30" customFormat="1" ht="12.75" customHeight="1" x14ac:dyDescent="0.55000000000000004">
      <c r="A60" s="87"/>
      <c r="C60" s="84" t="s">
        <v>226</v>
      </c>
      <c r="J60" s="59"/>
      <c r="K60" s="59"/>
      <c r="L60" s="59"/>
      <c r="M60" s="59"/>
      <c r="N60" s="59"/>
      <c r="O60" s="59"/>
      <c r="P60" s="59"/>
      <c r="Q60" s="59"/>
      <c r="R60" s="59"/>
      <c r="S60" s="59"/>
      <c r="T60" s="59"/>
      <c r="U60" s="59"/>
      <c r="V60" s="59"/>
      <c r="W60" s="59"/>
      <c r="X60" s="59"/>
      <c r="Y60" s="59"/>
      <c r="Z60" s="59"/>
      <c r="AA60" s="59">
        <v>0.8</v>
      </c>
      <c r="AB60" s="59">
        <v>0.8</v>
      </c>
      <c r="AC60" s="59"/>
      <c r="AD60" s="59"/>
      <c r="AE60" s="59">
        <v>1.1000000000000001</v>
      </c>
      <c r="AF60" s="59">
        <v>1.2</v>
      </c>
      <c r="AG60" s="59">
        <v>1.3</v>
      </c>
      <c r="AH60" s="59">
        <v>1.5</v>
      </c>
      <c r="AI60" s="59">
        <v>1.6</v>
      </c>
      <c r="AJ60" s="68">
        <v>1.7</v>
      </c>
      <c r="AK60" s="68">
        <v>1.7</v>
      </c>
      <c r="AL60" s="59">
        <v>1.6</v>
      </c>
      <c r="AM60" s="59">
        <v>1.9</v>
      </c>
      <c r="AN60" s="59">
        <v>1.9</v>
      </c>
      <c r="AO60" s="59">
        <v>2.2000000000000002</v>
      </c>
      <c r="AP60" s="59">
        <v>2.4</v>
      </c>
      <c r="AQ60" s="59">
        <v>2.4</v>
      </c>
      <c r="AR60" s="59">
        <v>2.2000000000000002</v>
      </c>
      <c r="AS60" s="59">
        <v>2.1</v>
      </c>
      <c r="AT60" s="59">
        <v>2.1</v>
      </c>
      <c r="AU60" s="59">
        <v>2.2000000000000002</v>
      </c>
      <c r="AV60" s="59">
        <v>2.2000000000000002</v>
      </c>
      <c r="AW60" s="59">
        <v>2.5</v>
      </c>
      <c r="AX60" s="59">
        <v>2.7</v>
      </c>
      <c r="AY60" s="59">
        <v>3</v>
      </c>
      <c r="AZ60" s="59">
        <v>3.2</v>
      </c>
      <c r="BA60" s="59">
        <v>3.7</v>
      </c>
      <c r="BB60" s="59">
        <v>3.7</v>
      </c>
      <c r="BC60" s="59">
        <v>4</v>
      </c>
      <c r="BD60" s="59"/>
      <c r="BE60" s="59"/>
      <c r="BF60" s="59"/>
      <c r="BG60" s="59"/>
      <c r="BH60" s="59">
        <v>6.1</v>
      </c>
      <c r="BI60" s="174">
        <v>6.1</v>
      </c>
      <c r="BJ60" s="174">
        <v>6.1</v>
      </c>
      <c r="BK60" s="59">
        <v>6.2</v>
      </c>
      <c r="BL60" s="59">
        <v>7.4</v>
      </c>
      <c r="BM60" s="174">
        <v>7.6</v>
      </c>
      <c r="BN60" s="59">
        <v>7.9</v>
      </c>
      <c r="BO60" s="59">
        <v>9.1999999999999993</v>
      </c>
      <c r="BP60" s="174">
        <v>10.199999999999999</v>
      </c>
      <c r="BQ60" s="59">
        <v>11.5</v>
      </c>
      <c r="BR60" s="133">
        <v>12.961538461538462</v>
      </c>
      <c r="BS60" s="133">
        <v>14.935483870967742</v>
      </c>
      <c r="BT60" s="133">
        <v>15.307692307692308</v>
      </c>
      <c r="BU60" s="133">
        <v>23.785714285714285</v>
      </c>
      <c r="BV60" s="133">
        <v>25.510204081632654</v>
      </c>
      <c r="BW60" s="133">
        <v>29.456521739130434</v>
      </c>
      <c r="BX60" s="133">
        <v>38.421052631578945</v>
      </c>
      <c r="BY60" s="133">
        <v>49.774193548387096</v>
      </c>
      <c r="BZ60" s="133">
        <v>55.807692307692307</v>
      </c>
      <c r="CA60" s="59"/>
      <c r="CB60" s="59"/>
      <c r="CC60" s="59"/>
      <c r="CD60" s="59"/>
    </row>
    <row r="61" spans="1:82" s="30" customFormat="1" ht="12.75" customHeight="1" x14ac:dyDescent="0.55000000000000004">
      <c r="A61" s="87"/>
      <c r="C61" s="84" t="s">
        <v>227</v>
      </c>
      <c r="J61" s="59"/>
      <c r="K61" s="59"/>
      <c r="L61" s="59"/>
      <c r="M61" s="59"/>
      <c r="N61" s="59"/>
      <c r="O61" s="59"/>
      <c r="P61" s="59"/>
      <c r="Q61" s="59"/>
      <c r="R61" s="59"/>
      <c r="S61" s="59"/>
      <c r="T61" s="59"/>
      <c r="U61" s="59"/>
      <c r="V61" s="59"/>
      <c r="W61" s="59"/>
      <c r="X61" s="59"/>
      <c r="Y61" s="59"/>
      <c r="Z61" s="59"/>
      <c r="AA61" s="59">
        <v>0.2</v>
      </c>
      <c r="AB61" s="59">
        <v>0.3</v>
      </c>
      <c r="AC61" s="59"/>
      <c r="AD61" s="59"/>
      <c r="AE61" s="59">
        <v>0.2</v>
      </c>
      <c r="AF61" s="59">
        <v>0.2</v>
      </c>
      <c r="AG61" s="59">
        <v>0.2</v>
      </c>
      <c r="AH61" s="59">
        <v>0.2</v>
      </c>
      <c r="AI61" s="59">
        <v>0.3</v>
      </c>
      <c r="AJ61" s="68">
        <v>0.3</v>
      </c>
      <c r="AK61" s="68"/>
      <c r="AL61" s="59">
        <v>0.6</v>
      </c>
      <c r="AM61" s="59">
        <v>0.6</v>
      </c>
      <c r="AN61" s="59">
        <v>0.7</v>
      </c>
      <c r="AO61" s="59">
        <v>0.7</v>
      </c>
      <c r="AP61" s="59">
        <v>0.8</v>
      </c>
      <c r="AQ61" s="59">
        <v>0.9</v>
      </c>
      <c r="AR61" s="59">
        <v>0.9</v>
      </c>
      <c r="AS61" s="59"/>
      <c r="AT61" s="59"/>
      <c r="AU61" s="59"/>
      <c r="AV61" s="59"/>
      <c r="AW61" s="59"/>
      <c r="AX61" s="59"/>
      <c r="AY61" s="59"/>
      <c r="AZ61" s="59"/>
      <c r="BA61" s="59"/>
      <c r="BB61" s="59"/>
      <c r="BC61" s="59"/>
      <c r="BD61" s="59"/>
      <c r="BE61" s="59"/>
      <c r="BF61" s="59"/>
      <c r="BG61" s="59"/>
      <c r="BH61" s="59"/>
      <c r="BI61" s="59"/>
      <c r="BJ61" s="59"/>
      <c r="BK61" s="59"/>
      <c r="BL61" s="59"/>
      <c r="BM61" s="59"/>
      <c r="BN61" s="59"/>
      <c r="BO61" s="59">
        <v>0.9</v>
      </c>
      <c r="BP61" s="59"/>
      <c r="BQ61" s="59"/>
      <c r="BR61" s="59"/>
      <c r="BS61" s="59"/>
      <c r="BT61" s="59"/>
      <c r="BU61" s="59"/>
      <c r="BV61" s="59"/>
      <c r="BW61" s="59"/>
      <c r="BX61" s="59"/>
      <c r="BY61" s="59"/>
      <c r="BZ61" s="59"/>
      <c r="CA61" s="59"/>
      <c r="CB61" s="59"/>
      <c r="CC61" s="59"/>
      <c r="CD61" s="59"/>
    </row>
    <row r="62" spans="1:82" s="210" customFormat="1" ht="12.75" customHeight="1" x14ac:dyDescent="0.5">
      <c r="A62" s="210" t="s">
        <v>62</v>
      </c>
      <c r="C62" s="211" t="s">
        <v>228</v>
      </c>
      <c r="D62" s="211"/>
      <c r="E62" s="211"/>
      <c r="F62" s="211"/>
      <c r="G62" s="211"/>
      <c r="H62" s="211"/>
      <c r="I62" s="211"/>
      <c r="J62" s="212"/>
      <c r="K62" s="212"/>
      <c r="L62" s="212"/>
      <c r="M62" s="212"/>
      <c r="N62" s="212"/>
      <c r="O62" s="213"/>
      <c r="P62" s="213"/>
      <c r="Q62" s="213"/>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row>
    <row r="63" spans="1:82" s="202" customFormat="1" ht="12.75" customHeight="1" x14ac:dyDescent="0.5">
      <c r="C63" s="214" t="s">
        <v>229</v>
      </c>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f>SUM(AT65:AT68)</f>
        <v>522.32000000000005</v>
      </c>
      <c r="AU63" s="205">
        <f>SUM(AU65:AU68)</f>
        <v>538.98</v>
      </c>
      <c r="AV63" s="205">
        <f>SUM(AV65:AV68)</f>
        <v>548.25999999999988</v>
      </c>
      <c r="AW63" s="205">
        <f>SUM(AW65:AW68)</f>
        <v>563.45999999999992</v>
      </c>
      <c r="AX63" s="205"/>
      <c r="AY63" s="205"/>
      <c r="AZ63" s="205"/>
      <c r="BA63" s="205"/>
      <c r="BB63" s="205"/>
      <c r="BC63" s="205"/>
      <c r="BD63" s="205"/>
      <c r="BE63" s="205"/>
      <c r="BF63" s="205"/>
      <c r="BG63" s="205"/>
      <c r="BH63" s="205"/>
      <c r="BI63" s="205"/>
      <c r="BJ63" s="205"/>
      <c r="BK63" s="205"/>
      <c r="BL63" s="205"/>
      <c r="BM63" s="205"/>
      <c r="BN63" s="207"/>
      <c r="BO63" s="205"/>
      <c r="BP63" s="205"/>
      <c r="BQ63" s="205"/>
      <c r="BR63" s="205"/>
      <c r="BS63" s="205"/>
      <c r="BT63" s="205"/>
      <c r="BU63" s="205"/>
      <c r="BV63" s="205"/>
      <c r="BW63" s="205">
        <f>SUM(BW65:BW68)</f>
        <v>459.01900000000001</v>
      </c>
      <c r="BX63" s="205"/>
      <c r="BY63" s="205"/>
      <c r="BZ63" s="205"/>
      <c r="CA63" s="205"/>
      <c r="CB63" s="205"/>
      <c r="CC63" s="205"/>
      <c r="CD63" s="205"/>
    </row>
    <row r="64" spans="1:82" s="202" customFormat="1" ht="12.75" customHeight="1" x14ac:dyDescent="0.5">
      <c r="C64" s="215" t="s">
        <v>230</v>
      </c>
      <c r="J64" s="205">
        <f>J16</f>
        <v>68.8</v>
      </c>
      <c r="K64" s="207">
        <f>(J64+L64)/2</f>
        <v>67.199999999999989</v>
      </c>
      <c r="L64" s="205">
        <f>L16</f>
        <v>65.599999999999994</v>
      </c>
      <c r="M64" s="207">
        <f>(L64+N64)/2</f>
        <v>70.349999999999994</v>
      </c>
      <c r="N64" s="205">
        <f>N16</f>
        <v>75.100000000000009</v>
      </c>
      <c r="O64" s="207">
        <f>(N64+P64)/2</f>
        <v>84.100000000000009</v>
      </c>
      <c r="P64" s="205">
        <f t="shared" ref="P64:W64" si="4">P16</f>
        <v>93.100000000000009</v>
      </c>
      <c r="Q64" s="205">
        <f t="shared" si="4"/>
        <v>94.7</v>
      </c>
      <c r="R64" s="205">
        <f t="shared" si="4"/>
        <v>108.2</v>
      </c>
      <c r="S64" s="205">
        <f t="shared" si="4"/>
        <v>105.8</v>
      </c>
      <c r="T64" s="205">
        <f t="shared" si="4"/>
        <v>104.60000000000001</v>
      </c>
      <c r="U64" s="205">
        <f t="shared" si="4"/>
        <v>107.5</v>
      </c>
      <c r="V64" s="205">
        <f t="shared" si="4"/>
        <v>99.399999999999991</v>
      </c>
      <c r="W64" s="205">
        <f t="shared" si="4"/>
        <v>99.539999999999992</v>
      </c>
      <c r="X64" s="205"/>
      <c r="Y64" s="205"/>
      <c r="Z64" s="205"/>
      <c r="AA64" s="205"/>
      <c r="AB64" s="205"/>
      <c r="AC64" s="205"/>
      <c r="AD64" s="205"/>
      <c r="AE64" s="205"/>
      <c r="AF64" s="205"/>
      <c r="AG64" s="205"/>
      <c r="AH64" s="205"/>
      <c r="AI64" s="205"/>
      <c r="AJ64" s="205"/>
      <c r="AK64" s="205"/>
      <c r="AL64" s="205"/>
      <c r="AM64" s="205"/>
      <c r="AN64" s="205"/>
      <c r="AO64" s="205"/>
      <c r="AP64" s="205"/>
      <c r="AQ64" s="205"/>
      <c r="AR64" s="205"/>
      <c r="AS64" s="205"/>
      <c r="AT64" s="205"/>
      <c r="AU64" s="205"/>
      <c r="AV64" s="205"/>
      <c r="AW64" s="205"/>
      <c r="AX64" s="205"/>
      <c r="AY64" s="205"/>
      <c r="AZ64" s="205"/>
      <c r="BA64" s="205"/>
      <c r="BB64" s="205"/>
      <c r="BC64" s="205"/>
      <c r="BD64" s="205"/>
      <c r="BE64" s="205"/>
      <c r="BF64" s="205"/>
      <c r="BG64" s="205"/>
      <c r="BH64" s="205"/>
      <c r="BI64" s="205"/>
      <c r="BJ64" s="205"/>
      <c r="BK64" s="205"/>
      <c r="BL64" s="205"/>
      <c r="BM64" s="205"/>
      <c r="BN64" s="207"/>
      <c r="BO64" s="205"/>
      <c r="BP64" s="205"/>
      <c r="BQ64" s="205"/>
      <c r="BR64" s="205"/>
      <c r="BS64" s="205"/>
      <c r="BT64" s="205"/>
      <c r="BU64" s="205"/>
      <c r="BV64" s="205"/>
      <c r="BW64" s="205"/>
      <c r="BX64" s="205"/>
      <c r="BY64" s="205"/>
      <c r="BZ64" s="205"/>
      <c r="CA64" s="205"/>
      <c r="CB64" s="205"/>
      <c r="CC64" s="205"/>
      <c r="CD64" s="205"/>
    </row>
    <row r="65" spans="1:82" s="202" customFormat="1" ht="12.75" customHeight="1" x14ac:dyDescent="0.5">
      <c r="C65" s="215" t="s">
        <v>231</v>
      </c>
      <c r="J65" s="205"/>
      <c r="K65" s="205"/>
      <c r="L65" s="205"/>
      <c r="M65" s="205"/>
      <c r="N65" s="205"/>
      <c r="O65" s="205"/>
      <c r="P65" s="205"/>
      <c r="Q65" s="205"/>
      <c r="R65" s="205"/>
      <c r="S65" s="205"/>
      <c r="T65" s="205"/>
      <c r="U65" s="205"/>
      <c r="V65" s="205"/>
      <c r="W65" s="205"/>
      <c r="X65" s="205">
        <f>X24-X66</f>
        <v>70.740000000000009</v>
      </c>
      <c r="Y65" s="207">
        <f>(X65+Z65)/2</f>
        <v>74.47</v>
      </c>
      <c r="Z65" s="205">
        <f t="shared" ref="Z65:AS65" si="5">Z24-Z66</f>
        <v>78.2</v>
      </c>
      <c r="AA65" s="205">
        <f t="shared" si="5"/>
        <v>73.5</v>
      </c>
      <c r="AB65" s="205">
        <f t="shared" si="5"/>
        <v>65.8</v>
      </c>
      <c r="AC65" s="205">
        <f t="shared" si="5"/>
        <v>72.918180145545335</v>
      </c>
      <c r="AD65" s="205">
        <f t="shared" si="5"/>
        <v>75.321876834665815</v>
      </c>
      <c r="AE65" s="205">
        <f t="shared" si="5"/>
        <v>81.599999999999994</v>
      </c>
      <c r="AF65" s="205">
        <f t="shared" si="5"/>
        <v>91.5</v>
      </c>
      <c r="AG65" s="205">
        <f t="shared" si="5"/>
        <v>102.10000000000001</v>
      </c>
      <c r="AH65" s="205">
        <f t="shared" si="5"/>
        <v>112.60000000000001</v>
      </c>
      <c r="AI65" s="205">
        <f t="shared" si="5"/>
        <v>115.2</v>
      </c>
      <c r="AJ65" s="205">
        <f t="shared" si="5"/>
        <v>116.89999999999999</v>
      </c>
      <c r="AK65" s="205">
        <f t="shared" si="5"/>
        <v>118.4</v>
      </c>
      <c r="AL65" s="205">
        <f t="shared" si="5"/>
        <v>130</v>
      </c>
      <c r="AM65" s="205">
        <f t="shared" si="5"/>
        <v>150.89999999999998</v>
      </c>
      <c r="AN65" s="205">
        <f t="shared" si="5"/>
        <v>116.80000000000001</v>
      </c>
      <c r="AO65" s="205">
        <f t="shared" si="5"/>
        <v>104.7</v>
      </c>
      <c r="AP65" s="205">
        <f t="shared" si="5"/>
        <v>110</v>
      </c>
      <c r="AQ65" s="205">
        <f t="shared" si="5"/>
        <v>119.19999999999997</v>
      </c>
      <c r="AR65" s="205">
        <f t="shared" si="5"/>
        <v>141.1</v>
      </c>
      <c r="AS65" s="205">
        <f t="shared" si="5"/>
        <v>140.60000000000002</v>
      </c>
      <c r="AT65" s="205">
        <f>AT70*1.2-AT66</f>
        <v>175.0779211689443</v>
      </c>
      <c r="AU65" s="205">
        <f t="shared" ref="AU65:AZ65" si="6">AU70*1.2-AU66</f>
        <v>205.00557827647532</v>
      </c>
      <c r="AV65" s="205">
        <f t="shared" si="6"/>
        <v>215.75999999999993</v>
      </c>
      <c r="AW65" s="205">
        <f t="shared" si="6"/>
        <v>228.95999999999995</v>
      </c>
      <c r="AX65" s="205">
        <f t="shared" si="6"/>
        <v>218.14</v>
      </c>
      <c r="AY65" s="205">
        <f t="shared" si="6"/>
        <v>230.08415046493246</v>
      </c>
      <c r="AZ65" s="205">
        <f t="shared" si="6"/>
        <v>244.29392587452304</v>
      </c>
      <c r="BA65" s="205">
        <f>BA70*1.2-BA66</f>
        <v>259.2</v>
      </c>
      <c r="BB65" s="205">
        <f>BB70*1.2-BB66</f>
        <v>270.73327450762747</v>
      </c>
      <c r="BC65" s="205">
        <f t="shared" ref="BC65:BG65" si="7">BC70*1.2-BC66</f>
        <v>283.40434993466283</v>
      </c>
      <c r="BD65" s="205">
        <f t="shared" si="7"/>
        <v>294.81453874751429</v>
      </c>
      <c r="BE65" s="205">
        <f t="shared" si="7"/>
        <v>306.65344902533974</v>
      </c>
      <c r="BF65" s="205">
        <f t="shared" si="7"/>
        <v>318.93665829739678</v>
      </c>
      <c r="BG65" s="205">
        <f t="shared" si="7"/>
        <v>269.99965659927648</v>
      </c>
      <c r="BH65" s="205">
        <f>BH70*1.2-BH66</f>
        <v>255.24777977696414</v>
      </c>
      <c r="BI65" s="205">
        <f t="shared" ref="BI65:BM65" si="8">BI70*1.2-BI66</f>
        <v>242.37238635070176</v>
      </c>
      <c r="BJ65" s="205">
        <f t="shared" si="8"/>
        <v>226.68400000000003</v>
      </c>
      <c r="BK65" s="205">
        <f t="shared" si="8"/>
        <v>212.084</v>
      </c>
      <c r="BL65" s="205">
        <f t="shared" si="8"/>
        <v>204.70899999999997</v>
      </c>
      <c r="BM65" s="205">
        <f t="shared" si="8"/>
        <v>199.66</v>
      </c>
      <c r="BN65" s="205">
        <f>BN70*1.2-BN66</f>
        <v>194.69900000000001</v>
      </c>
      <c r="BO65" s="205">
        <f t="shared" ref="BO65:BR65" si="9">BO70*1.2-BO66</f>
        <v>195.911</v>
      </c>
      <c r="BP65" s="205">
        <f t="shared" si="9"/>
        <v>202.14</v>
      </c>
      <c r="BQ65" s="205">
        <f t="shared" si="9"/>
        <v>207.12699999999998</v>
      </c>
      <c r="BR65" s="205">
        <f t="shared" si="9"/>
        <v>200.26302294197029</v>
      </c>
      <c r="BS65" s="205">
        <f>BS70*1.2-BS66</f>
        <v>186.13638142710346</v>
      </c>
      <c r="BT65" s="205">
        <f t="shared" ref="BT65:BW65" si="10">BT70*1.2-BT66</f>
        <v>190.15039893921002</v>
      </c>
      <c r="BU65" s="205">
        <f t="shared" si="10"/>
        <v>188.75762343820105</v>
      </c>
      <c r="BV65" s="205">
        <f t="shared" si="10"/>
        <v>189.65282796253885</v>
      </c>
      <c r="BW65" s="205">
        <f t="shared" si="10"/>
        <v>183.56270903010034</v>
      </c>
      <c r="BX65" s="205"/>
      <c r="BY65" s="205"/>
      <c r="BZ65" s="205"/>
      <c r="CA65" s="205"/>
      <c r="CB65" s="205"/>
      <c r="CC65" s="205"/>
      <c r="CD65" s="205"/>
    </row>
    <row r="66" spans="1:82" s="202" customFormat="1" ht="12.75" customHeight="1" x14ac:dyDescent="0.5">
      <c r="C66" s="215" t="s">
        <v>232</v>
      </c>
      <c r="J66" s="205"/>
      <c r="K66" s="205"/>
      <c r="L66" s="205"/>
      <c r="M66" s="205"/>
      <c r="N66" s="205"/>
      <c r="O66" s="205"/>
      <c r="P66" s="205"/>
      <c r="Q66" s="205"/>
      <c r="R66" s="205"/>
      <c r="S66" s="205"/>
      <c r="T66" s="205"/>
      <c r="U66" s="205"/>
      <c r="V66" s="205"/>
      <c r="W66" s="205"/>
      <c r="X66" s="205">
        <f>X58</f>
        <v>10.1</v>
      </c>
      <c r="Y66" s="207">
        <f>(X66+Z66)/2</f>
        <v>10.5</v>
      </c>
      <c r="Z66" s="205">
        <f t="shared" ref="Z66:BE66" si="11">Z58</f>
        <v>10.9</v>
      </c>
      <c r="AA66" s="205">
        <f t="shared" si="11"/>
        <v>11.2</v>
      </c>
      <c r="AB66" s="205">
        <f t="shared" si="11"/>
        <v>12.200000000000001</v>
      </c>
      <c r="AC66" s="205">
        <f t="shared" si="11"/>
        <v>13.381819854454667</v>
      </c>
      <c r="AD66" s="205">
        <f t="shared" si="11"/>
        <v>14.67812316533419</v>
      </c>
      <c r="AE66" s="205">
        <f t="shared" si="11"/>
        <v>16.100000000000001</v>
      </c>
      <c r="AF66" s="205">
        <f t="shared" si="11"/>
        <v>16.7</v>
      </c>
      <c r="AG66" s="205">
        <f t="shared" si="11"/>
        <v>18.3</v>
      </c>
      <c r="AH66" s="205">
        <f t="shared" si="11"/>
        <v>18.3</v>
      </c>
      <c r="AI66" s="205">
        <f t="shared" si="11"/>
        <v>19.700000000000003</v>
      </c>
      <c r="AJ66" s="205">
        <f t="shared" si="11"/>
        <v>21.8</v>
      </c>
      <c r="AK66" s="205">
        <f t="shared" si="11"/>
        <v>23.599999999999998</v>
      </c>
      <c r="AL66" s="205">
        <f t="shared" si="11"/>
        <v>25.400000000000002</v>
      </c>
      <c r="AM66" s="205">
        <f t="shared" si="11"/>
        <v>27.8</v>
      </c>
      <c r="AN66" s="205">
        <f t="shared" si="11"/>
        <v>31.499999999999996</v>
      </c>
      <c r="AO66" s="205">
        <f t="shared" si="11"/>
        <v>42.100000000000009</v>
      </c>
      <c r="AP66" s="205">
        <f t="shared" si="11"/>
        <v>48.499999999999993</v>
      </c>
      <c r="AQ66" s="205">
        <f t="shared" si="11"/>
        <v>67.000000000000014</v>
      </c>
      <c r="AR66" s="205">
        <f t="shared" si="11"/>
        <v>80.400000000000006</v>
      </c>
      <c r="AS66" s="205">
        <f t="shared" si="11"/>
        <v>83.3</v>
      </c>
      <c r="AT66" s="205">
        <f t="shared" si="11"/>
        <v>86.042078831055704</v>
      </c>
      <c r="AU66" s="205">
        <f t="shared" si="11"/>
        <v>88.874421723524662</v>
      </c>
      <c r="AV66" s="205">
        <f t="shared" si="11"/>
        <v>91.8</v>
      </c>
      <c r="AW66" s="205">
        <f t="shared" si="11"/>
        <v>93.6</v>
      </c>
      <c r="AX66" s="205">
        <f t="shared" si="11"/>
        <v>95.3</v>
      </c>
      <c r="AY66" s="205">
        <f t="shared" si="11"/>
        <v>97.8</v>
      </c>
      <c r="AZ66" s="205">
        <f t="shared" si="11"/>
        <v>98.7</v>
      </c>
      <c r="BA66" s="205">
        <f t="shared" si="11"/>
        <v>99.600000000000009</v>
      </c>
      <c r="BB66" s="205">
        <f t="shared" si="11"/>
        <v>100.60000000000001</v>
      </c>
      <c r="BC66" s="205">
        <f t="shared" si="11"/>
        <v>100.9</v>
      </c>
      <c r="BD66" s="205">
        <f t="shared" si="11"/>
        <v>102.91398039619661</v>
      </c>
      <c r="BE66" s="205">
        <f t="shared" si="11"/>
        <v>104.96816016837204</v>
      </c>
      <c r="BF66" s="205">
        <f t="shared" ref="BF66:BW66" si="12">BF58</f>
        <v>107.06334170260321</v>
      </c>
      <c r="BG66" s="205">
        <f t="shared" si="12"/>
        <v>109.20034340072354</v>
      </c>
      <c r="BH66" s="205">
        <f t="shared" si="12"/>
        <v>111.38</v>
      </c>
      <c r="BI66" s="205">
        <f t="shared" si="12"/>
        <v>112.1</v>
      </c>
      <c r="BJ66" s="205">
        <f t="shared" si="12"/>
        <v>116.036</v>
      </c>
      <c r="BK66" s="205">
        <f t="shared" si="12"/>
        <v>112.63600000000001</v>
      </c>
      <c r="BL66" s="205">
        <f t="shared" si="12"/>
        <v>111.131</v>
      </c>
      <c r="BM66" s="205">
        <f t="shared" si="12"/>
        <v>112.1</v>
      </c>
      <c r="BN66" s="205">
        <f t="shared" si="12"/>
        <v>113.82100000000001</v>
      </c>
      <c r="BO66" s="205">
        <f t="shared" si="12"/>
        <v>122.209</v>
      </c>
      <c r="BP66" s="205">
        <f t="shared" si="12"/>
        <v>124.86</v>
      </c>
      <c r="BQ66" s="205">
        <f t="shared" si="12"/>
        <v>131.273</v>
      </c>
      <c r="BR66" s="205">
        <f t="shared" si="12"/>
        <v>144.13697705802969</v>
      </c>
      <c r="BS66" s="205">
        <f t="shared" si="12"/>
        <v>163.61472915398662</v>
      </c>
      <c r="BT66" s="205">
        <f t="shared" si="12"/>
        <v>165.03496503496504</v>
      </c>
      <c r="BU66" s="205">
        <f t="shared" si="12"/>
        <v>171.94642857142856</v>
      </c>
      <c r="BV66" s="205">
        <f t="shared" si="12"/>
        <v>176.65565862708721</v>
      </c>
      <c r="BW66" s="205">
        <f t="shared" si="12"/>
        <v>188.43729096989966</v>
      </c>
      <c r="BX66" s="205"/>
      <c r="BY66" s="205"/>
      <c r="BZ66" s="205"/>
      <c r="CA66" s="205"/>
      <c r="CB66" s="205"/>
      <c r="CC66" s="205"/>
      <c r="CD66" s="205"/>
    </row>
    <row r="67" spans="1:82" s="202" customFormat="1" ht="12.75" customHeight="1" x14ac:dyDescent="0.5">
      <c r="C67" s="215" t="s">
        <v>84</v>
      </c>
      <c r="J67" s="205"/>
      <c r="K67" s="205"/>
      <c r="L67" s="205"/>
      <c r="M67" s="205"/>
      <c r="N67" s="205"/>
      <c r="O67" s="205"/>
      <c r="P67" s="205"/>
      <c r="Q67" s="205"/>
      <c r="R67" s="205"/>
      <c r="S67" s="205"/>
      <c r="T67" s="205"/>
      <c r="U67" s="205"/>
      <c r="V67" s="205"/>
      <c r="W67" s="205"/>
      <c r="X67" s="205">
        <f>X28</f>
        <v>17.979000000000003</v>
      </c>
      <c r="Y67" s="207">
        <f>(X67+Z67)/2</f>
        <v>16.734500000000004</v>
      </c>
      <c r="Z67" s="205">
        <f t="shared" ref="Z67:AW67" si="13">Z28</f>
        <v>15.490000000000002</v>
      </c>
      <c r="AA67" s="205">
        <f t="shared" si="13"/>
        <v>16.57</v>
      </c>
      <c r="AB67" s="205">
        <f t="shared" si="13"/>
        <v>16.700000000000003</v>
      </c>
      <c r="AC67" s="205">
        <f t="shared" si="13"/>
        <v>17.600000000000001</v>
      </c>
      <c r="AD67" s="205">
        <f t="shared" si="13"/>
        <v>17.5</v>
      </c>
      <c r="AE67" s="205">
        <f t="shared" si="13"/>
        <v>16.8</v>
      </c>
      <c r="AF67" s="205">
        <f t="shared" si="13"/>
        <v>18</v>
      </c>
      <c r="AG67" s="205">
        <f t="shared" si="13"/>
        <v>89.058999999999997</v>
      </c>
      <c r="AH67" s="205">
        <f t="shared" si="13"/>
        <v>93</v>
      </c>
      <c r="AI67" s="205">
        <f t="shared" si="13"/>
        <v>99.260999999999996</v>
      </c>
      <c r="AJ67" s="205">
        <f t="shared" si="13"/>
        <v>110.608</v>
      </c>
      <c r="AK67" s="205">
        <f t="shared" si="13"/>
        <v>112.69000000000001</v>
      </c>
      <c r="AL67" s="205">
        <f t="shared" si="13"/>
        <v>168.43499999999997</v>
      </c>
      <c r="AM67" s="205">
        <f t="shared" si="13"/>
        <v>160.83099999999999</v>
      </c>
      <c r="AN67" s="205">
        <f t="shared" si="13"/>
        <v>174.8</v>
      </c>
      <c r="AO67" s="205">
        <f t="shared" si="13"/>
        <v>182.62299999999999</v>
      </c>
      <c r="AP67" s="205">
        <f t="shared" si="13"/>
        <v>177.79999999999998</v>
      </c>
      <c r="AQ67" s="205">
        <f t="shared" si="13"/>
        <v>211.99999999999997</v>
      </c>
      <c r="AR67" s="205">
        <f t="shared" si="13"/>
        <v>212.7</v>
      </c>
      <c r="AS67" s="205">
        <f t="shared" si="13"/>
        <v>218.5</v>
      </c>
      <c r="AT67" s="205">
        <f t="shared" si="13"/>
        <v>209.3</v>
      </c>
      <c r="AU67" s="205">
        <f t="shared" si="13"/>
        <v>200.2</v>
      </c>
      <c r="AV67" s="205">
        <f t="shared" si="13"/>
        <v>200.4</v>
      </c>
      <c r="AW67" s="205">
        <f t="shared" si="13"/>
        <v>200.6</v>
      </c>
      <c r="AX67" s="207">
        <f>AW67*($BN67/$AW67)^(1/17)</f>
        <v>189.71467841367567</v>
      </c>
      <c r="AY67" s="207">
        <f t="shared" ref="AY67:BM67" si="14">AX67*($BN67/$AW67)^(1/17)</f>
        <v>179.42003592026111</v>
      </c>
      <c r="AZ67" s="207">
        <f t="shared" si="14"/>
        <v>169.68402001785881</v>
      </c>
      <c r="BA67" s="207">
        <f t="shared" si="14"/>
        <v>160.47631749565201</v>
      </c>
      <c r="BB67" s="207">
        <f t="shared" si="14"/>
        <v>151.76826005333268</v>
      </c>
      <c r="BC67" s="207">
        <f t="shared" si="14"/>
        <v>143.53273504197961</v>
      </c>
      <c r="BD67" s="207">
        <f t="shared" si="14"/>
        <v>135.74410104847698</v>
      </c>
      <c r="BE67" s="207">
        <f t="shared" si="14"/>
        <v>128.37810806064459</v>
      </c>
      <c r="BF67" s="207">
        <f t="shared" si="14"/>
        <v>121.41182196451294</v>
      </c>
      <c r="BG67" s="207">
        <f t="shared" si="14"/>
        <v>114.8235531386641</v>
      </c>
      <c r="BH67" s="207">
        <f t="shared" si="14"/>
        <v>108.59278892331635</v>
      </c>
      <c r="BI67" s="207">
        <f t="shared" si="14"/>
        <v>102.70012975389393</v>
      </c>
      <c r="BJ67" s="207">
        <f t="shared" si="14"/>
        <v>97.127228760233066</v>
      </c>
      <c r="BK67" s="207">
        <f t="shared" si="14"/>
        <v>91.856734643365542</v>
      </c>
      <c r="BL67" s="207">
        <f t="shared" si="14"/>
        <v>86.872237652026101</v>
      </c>
      <c r="BM67" s="207">
        <f t="shared" si="14"/>
        <v>82.158218490680653</v>
      </c>
      <c r="BN67" s="205">
        <f>BN28</f>
        <v>77.699999999999989</v>
      </c>
      <c r="BO67" s="205">
        <f>BO28</f>
        <v>93.1</v>
      </c>
      <c r="BP67" s="207">
        <f>BO67*($BR67/$BO67)^(1/3)</f>
        <v>70.220467080069596</v>
      </c>
      <c r="BQ67" s="207">
        <f>BP67*($BR67/$BO67)^(1/3)</f>
        <v>52.963630471999338</v>
      </c>
      <c r="BR67" s="205">
        <f>BR28</f>
        <v>39.947700000000005</v>
      </c>
      <c r="BS67" s="205">
        <f>BS28</f>
        <v>50</v>
      </c>
      <c r="BT67" s="205">
        <f>BT28</f>
        <v>62.823600000000006</v>
      </c>
      <c r="BU67" s="207">
        <f>BT67*($BW67/$BT67)^(1/3)</f>
        <v>61.874466107915453</v>
      </c>
      <c r="BV67" s="207">
        <f>BU67*($BW67/$BT67)^(1/3)</f>
        <v>60.939671654276061</v>
      </c>
      <c r="BW67" s="205">
        <f>BW28</f>
        <v>60.019000000000005</v>
      </c>
      <c r="BX67" s="205"/>
      <c r="BY67" s="205"/>
      <c r="BZ67" s="205"/>
      <c r="CA67" s="205"/>
      <c r="CB67" s="205"/>
      <c r="CC67" s="205"/>
      <c r="CD67" s="205"/>
    </row>
    <row r="68" spans="1:82" s="202" customFormat="1" ht="12.75" customHeight="1" x14ac:dyDescent="0.5">
      <c r="C68" s="215" t="s">
        <v>233</v>
      </c>
      <c r="J68" s="205"/>
      <c r="K68" s="205"/>
      <c r="L68" s="205"/>
      <c r="M68" s="205"/>
      <c r="N68" s="205"/>
      <c r="O68" s="205"/>
      <c r="P68" s="205"/>
      <c r="Q68" s="205"/>
      <c r="R68" s="205"/>
      <c r="S68" s="205"/>
      <c r="T68" s="205"/>
      <c r="U68" s="205"/>
      <c r="V68" s="205"/>
      <c r="W68" s="205"/>
      <c r="X68" s="205"/>
      <c r="Y68" s="205"/>
      <c r="Z68" s="205"/>
      <c r="AA68" s="205"/>
      <c r="AB68" s="205"/>
      <c r="AC68" s="205"/>
      <c r="AD68" s="205"/>
      <c r="AE68" s="205"/>
      <c r="AF68" s="205"/>
      <c r="AG68" s="205"/>
      <c r="AH68" s="205"/>
      <c r="AI68" s="205"/>
      <c r="AJ68" s="205">
        <f>IF(AJ56=0, " ",AJ56)</f>
        <v>10.35</v>
      </c>
      <c r="AK68" s="205">
        <f>IF(AK56=0, " ",AK56)</f>
        <v>11.1</v>
      </c>
      <c r="AL68" s="207">
        <f>(AK68+AM68)/2</f>
        <v>11.35</v>
      </c>
      <c r="AM68" s="205">
        <f>IF(AM56=0, " ",AM56)</f>
        <v>11.6</v>
      </c>
      <c r="AN68" s="205">
        <f>IF(AN56=0, " ",AN56)</f>
        <v>14.6</v>
      </c>
      <c r="AO68" s="205">
        <f>IF(AO56=0, " ",AO56)</f>
        <v>14.6</v>
      </c>
      <c r="AP68" s="205">
        <f>IF(AP56=0, " ",AP56)</f>
        <v>14.6</v>
      </c>
      <c r="AQ68" s="205">
        <f>IF(AQ56=0, " ",AQ56)</f>
        <v>18.600000000000001</v>
      </c>
      <c r="AR68" s="207">
        <f>AQ68*($AT68/$AQ68)^(1/3)</f>
        <v>26.185713711715721</v>
      </c>
      <c r="AS68" s="207">
        <f>AR68*($AT68/$AQ68)^(1/3)</f>
        <v>36.865139924297672</v>
      </c>
      <c r="AT68" s="205">
        <f t="shared" ref="AT68:AZ68" si="15">IF(AT56=0, " ",AT56)</f>
        <v>51.9</v>
      </c>
      <c r="AU68" s="205">
        <f t="shared" si="15"/>
        <v>44.9</v>
      </c>
      <c r="AV68" s="205">
        <f t="shared" si="15"/>
        <v>40.299999999999997</v>
      </c>
      <c r="AW68" s="205">
        <f t="shared" si="15"/>
        <v>40.299999999999997</v>
      </c>
      <c r="AX68" s="205">
        <f t="shared" si="15"/>
        <v>40.299999999999997</v>
      </c>
      <c r="AY68" s="205">
        <f t="shared" si="15"/>
        <v>40.299999999999997</v>
      </c>
      <c r="AZ68" s="205">
        <f t="shared" si="15"/>
        <v>40.299999999999997</v>
      </c>
      <c r="BA68" s="207">
        <f>(AZ68+BB68)/2</f>
        <v>40.15</v>
      </c>
      <c r="BB68" s="205">
        <f t="shared" ref="BB68:BK68" si="16">IF(BB56=0, " ",BB56)</f>
        <v>40</v>
      </c>
      <c r="BC68" s="205">
        <f t="shared" si="16"/>
        <v>46.7</v>
      </c>
      <c r="BD68" s="205">
        <f t="shared" si="16"/>
        <v>46.8</v>
      </c>
      <c r="BE68" s="205">
        <f t="shared" si="16"/>
        <v>46.8</v>
      </c>
      <c r="BF68" s="205">
        <f t="shared" si="16"/>
        <v>46.8</v>
      </c>
      <c r="BG68" s="205">
        <f t="shared" si="16"/>
        <v>49.5</v>
      </c>
      <c r="BH68" s="205">
        <f t="shared" si="16"/>
        <v>49.6</v>
      </c>
      <c r="BI68" s="205">
        <f t="shared" si="16"/>
        <v>34.6</v>
      </c>
      <c r="BJ68" s="205">
        <f t="shared" si="16"/>
        <v>34.6</v>
      </c>
      <c r="BK68" s="205">
        <f t="shared" si="16"/>
        <v>34</v>
      </c>
      <c r="BL68" s="207">
        <f>(BK68+BM68)/2</f>
        <v>34</v>
      </c>
      <c r="BM68" s="205">
        <f>IF(BM56=0, " ",BM56)</f>
        <v>34</v>
      </c>
      <c r="BN68" s="205">
        <f>IF(BN56=0, " ",BN56)</f>
        <v>27</v>
      </c>
      <c r="BO68" s="205">
        <f>IF(BO56=0, " ",BO56)</f>
        <v>27</v>
      </c>
      <c r="BP68" s="205">
        <f>IF(BP56=0, " ",BP56)</f>
        <v>27</v>
      </c>
      <c r="BQ68" s="207">
        <v>27</v>
      </c>
      <c r="BR68" s="207">
        <v>27</v>
      </c>
      <c r="BS68" s="205">
        <f>IF(BS56=0, " ",BS56)</f>
        <v>27</v>
      </c>
      <c r="BT68" s="207">
        <f>(BS68+BU68)/2</f>
        <v>27</v>
      </c>
      <c r="BU68" s="205">
        <f>IF(BU56=0, " ",BU56)</f>
        <v>27</v>
      </c>
      <c r="BV68" s="207">
        <f>(BU68+BW68)/2</f>
        <v>27</v>
      </c>
      <c r="BW68" s="205">
        <f>IF(BW56=0, " ",BW56)</f>
        <v>27</v>
      </c>
      <c r="BX68" s="205"/>
      <c r="BY68" s="205"/>
      <c r="BZ68" s="205"/>
      <c r="CA68" s="205"/>
      <c r="CB68" s="205"/>
      <c r="CC68" s="205"/>
      <c r="CD68" s="205"/>
    </row>
    <row r="69" spans="1:82" s="202" customFormat="1" ht="12.75" customHeight="1" x14ac:dyDescent="0.5">
      <c r="J69" s="205"/>
      <c r="K69" s="205"/>
      <c r="L69" s="205"/>
      <c r="M69" s="205"/>
      <c r="N69" s="205"/>
      <c r="O69" s="205"/>
      <c r="P69" s="205"/>
      <c r="Q69" s="205"/>
      <c r="R69" s="205"/>
      <c r="S69" s="205"/>
      <c r="T69" s="205"/>
      <c r="U69" s="205"/>
      <c r="V69" s="205"/>
      <c r="W69" s="205"/>
      <c r="X69" s="205"/>
      <c r="Y69" s="205"/>
      <c r="Z69" s="205"/>
      <c r="AA69" s="205"/>
      <c r="AB69" s="205"/>
      <c r="AC69" s="205"/>
      <c r="AD69" s="205"/>
      <c r="AE69" s="205"/>
      <c r="AF69" s="205"/>
      <c r="AG69" s="205"/>
      <c r="AH69" s="205"/>
      <c r="AI69" s="205"/>
      <c r="AJ69" s="205"/>
      <c r="AK69" s="205"/>
      <c r="AL69" s="205"/>
      <c r="AM69" s="205"/>
      <c r="AN69" s="205"/>
      <c r="AO69" s="205"/>
      <c r="AP69" s="205"/>
      <c r="AQ69" s="205"/>
      <c r="AR69" s="205"/>
      <c r="AS69" s="205"/>
      <c r="AT69" s="205"/>
      <c r="AU69" s="205"/>
      <c r="AV69" s="205"/>
      <c r="AW69" s="205"/>
      <c r="AX69" s="205"/>
      <c r="AY69" s="205"/>
      <c r="AZ69" s="205"/>
      <c r="BA69" s="205"/>
      <c r="BB69" s="205"/>
      <c r="BC69" s="205"/>
      <c r="BD69" s="205"/>
      <c r="BE69" s="205"/>
      <c r="BF69" s="205"/>
      <c r="BG69" s="205"/>
      <c r="BH69" s="205"/>
      <c r="BI69" s="205"/>
      <c r="BJ69" s="205"/>
      <c r="BK69" s="205"/>
      <c r="BL69" s="205"/>
      <c r="BM69" s="205"/>
      <c r="BN69" s="205"/>
      <c r="BO69" s="205"/>
      <c r="BP69" s="205"/>
      <c r="BQ69" s="205"/>
      <c r="BR69" s="205"/>
      <c r="BS69" s="205"/>
      <c r="BT69" s="205"/>
      <c r="BU69" s="205"/>
      <c r="BV69" s="205"/>
      <c r="BW69" s="205"/>
      <c r="BX69" s="205"/>
      <c r="BY69" s="205"/>
      <c r="BZ69" s="205"/>
      <c r="CA69" s="205"/>
      <c r="CB69" s="205"/>
      <c r="CC69" s="205"/>
      <c r="CD69" s="205"/>
    </row>
    <row r="70" spans="1:82" s="202" customFormat="1" ht="12.75" customHeight="1" x14ac:dyDescent="0.5">
      <c r="C70" s="202" t="s">
        <v>234</v>
      </c>
      <c r="J70" s="205"/>
      <c r="K70" s="205"/>
      <c r="L70" s="205"/>
      <c r="M70" s="205"/>
      <c r="N70" s="205"/>
      <c r="O70" s="205"/>
      <c r="P70" s="205"/>
      <c r="Q70" s="205"/>
      <c r="R70" s="205"/>
      <c r="S70" s="205"/>
      <c r="T70" s="205"/>
      <c r="U70" s="205"/>
      <c r="V70" s="205"/>
      <c r="W70" s="205"/>
      <c r="X70" s="205"/>
      <c r="Y70" s="205"/>
      <c r="Z70" s="205">
        <f>Z38</f>
        <v>90</v>
      </c>
      <c r="AA70" s="205"/>
      <c r="AB70" s="205"/>
      <c r="AC70" s="205"/>
      <c r="AD70" s="205"/>
      <c r="AE70" s="205"/>
      <c r="AF70" s="205"/>
      <c r="AG70" s="205"/>
      <c r="AH70" s="205"/>
      <c r="AI70" s="205"/>
      <c r="AJ70" s="205">
        <f>AJ38</f>
        <v>139</v>
      </c>
      <c r="AK70" s="207">
        <f>AJ70*($AO70/$AJ70)^(1/5)</f>
        <v>140.65988054885781</v>
      </c>
      <c r="AL70" s="207">
        <f t="shared" ref="AL70:AN70" si="17">AK70*($AO70/$AJ70)^(1/5)</f>
        <v>142.33958270517229</v>
      </c>
      <c r="AM70" s="207">
        <f t="shared" si="17"/>
        <v>144.03934317038707</v>
      </c>
      <c r="AN70" s="207">
        <f t="shared" si="17"/>
        <v>145.75940147253658</v>
      </c>
      <c r="AO70" s="205">
        <f>AO38</f>
        <v>147.5</v>
      </c>
      <c r="AP70" s="205">
        <f>AP38</f>
        <v>157.80000000000001</v>
      </c>
      <c r="AQ70" s="205">
        <f>AQ38</f>
        <v>180.9</v>
      </c>
      <c r="AR70" s="205">
        <f>AR38</f>
        <v>200.9</v>
      </c>
      <c r="AS70" s="207">
        <f>(AT70+AR70)/2</f>
        <v>209.25</v>
      </c>
      <c r="AT70" s="216">
        <f>AT40</f>
        <v>217.6</v>
      </c>
      <c r="AU70" s="216">
        <f>AU40</f>
        <v>244.9</v>
      </c>
      <c r="AV70" s="216">
        <f>AV40</f>
        <v>256.29999999999995</v>
      </c>
      <c r="AW70" s="216">
        <f>AW40</f>
        <v>268.79999999999995</v>
      </c>
      <c r="AX70" s="216">
        <f>AX40</f>
        <v>261.2</v>
      </c>
      <c r="AY70" s="207">
        <f>AX70*($BA70/$AX70)^(1/3)</f>
        <v>273.23679205411042</v>
      </c>
      <c r="AZ70" s="207">
        <f>AY70*($BA70/$AX70)^(1/3)</f>
        <v>285.82827156210254</v>
      </c>
      <c r="BA70" s="205">
        <f>BA38</f>
        <v>299</v>
      </c>
      <c r="BB70" s="207">
        <f>BA70*($BF70/$BA70)^(1/5)</f>
        <v>309.44439542302291</v>
      </c>
      <c r="BC70" s="207">
        <f t="shared" ref="BC70:BE70" si="18">BB70*($BF70/$BA70)^(1/5)</f>
        <v>320.25362494555236</v>
      </c>
      <c r="BD70" s="207">
        <f t="shared" si="18"/>
        <v>331.44043261975912</v>
      </c>
      <c r="BE70" s="207">
        <f t="shared" si="18"/>
        <v>343.01800766142651</v>
      </c>
      <c r="BF70" s="205">
        <f>BF38</f>
        <v>355</v>
      </c>
      <c r="BG70" s="205">
        <f>BG38</f>
        <v>316</v>
      </c>
      <c r="BH70" s="207">
        <f>BG70*($BJ70/$BG70)^(1/3)</f>
        <v>305.52314981413679</v>
      </c>
      <c r="BI70" s="207">
        <f>BH70*($BJ70/$BG70)^(1/3)</f>
        <v>295.39365529225148</v>
      </c>
      <c r="BJ70" s="205">
        <f t="shared" ref="BJ70:BR70" si="19">BJ38</f>
        <v>285.60000000000002</v>
      </c>
      <c r="BK70" s="205">
        <f t="shared" si="19"/>
        <v>270.60000000000002</v>
      </c>
      <c r="BL70" s="205">
        <f t="shared" si="19"/>
        <v>263.2</v>
      </c>
      <c r="BM70" s="205">
        <f t="shared" si="19"/>
        <v>259.8</v>
      </c>
      <c r="BN70" s="205">
        <f t="shared" si="19"/>
        <v>257.10000000000002</v>
      </c>
      <c r="BO70" s="205">
        <f t="shared" si="19"/>
        <v>265.10000000000002</v>
      </c>
      <c r="BP70" s="205">
        <f t="shared" si="19"/>
        <v>272.5</v>
      </c>
      <c r="BQ70" s="205">
        <f t="shared" si="19"/>
        <v>282</v>
      </c>
      <c r="BR70" s="205">
        <f t="shared" si="19"/>
        <v>287</v>
      </c>
      <c r="BS70" s="207">
        <f>BR70*($BW70/$BR70)^(1/5)</f>
        <v>291.45925881757506</v>
      </c>
      <c r="BT70" s="207">
        <f t="shared" ref="BT70:BV70" si="20">BS70*($BW70/$BR70)^(1/5)</f>
        <v>295.98780331181257</v>
      </c>
      <c r="BU70" s="207">
        <f t="shared" si="20"/>
        <v>300.58671000802468</v>
      </c>
      <c r="BV70" s="207">
        <f t="shared" si="20"/>
        <v>305.25707215802174</v>
      </c>
      <c r="BW70" s="205">
        <f>BW38</f>
        <v>310</v>
      </c>
      <c r="BX70" s="205"/>
      <c r="BY70" s="205"/>
      <c r="BZ70" s="205"/>
      <c r="CA70" s="205"/>
      <c r="CB70" s="205"/>
      <c r="CC70" s="205"/>
      <c r="CD70" s="205"/>
    </row>
    <row r="71" spans="1:82" s="104" customFormat="1" ht="12.75" customHeight="1" x14ac:dyDescent="0.5">
      <c r="A71" s="81" t="s">
        <v>184</v>
      </c>
      <c r="B71" s="104" t="s">
        <v>235</v>
      </c>
      <c r="C71" s="105" t="s">
        <v>348</v>
      </c>
      <c r="D71" s="105"/>
      <c r="J71" s="182"/>
      <c r="K71" s="182"/>
      <c r="L71" s="182"/>
      <c r="M71" s="182"/>
      <c r="N71" s="182"/>
      <c r="O71" s="182"/>
      <c r="P71" s="182"/>
      <c r="Q71" s="182"/>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182"/>
      <c r="AQ71" s="182"/>
      <c r="AR71" s="182"/>
      <c r="AS71" s="182"/>
      <c r="AT71" s="182"/>
      <c r="AU71" s="182"/>
      <c r="AV71" s="182"/>
      <c r="AW71" s="182"/>
      <c r="AX71" s="182"/>
      <c r="AY71" s="182"/>
      <c r="AZ71" s="182"/>
      <c r="BA71" s="182"/>
      <c r="BB71" s="182"/>
      <c r="BC71" s="182"/>
      <c r="BD71" s="182"/>
      <c r="BE71" s="182"/>
      <c r="BF71" s="182"/>
      <c r="BG71" s="182"/>
      <c r="BH71" s="182"/>
      <c r="BI71" s="182"/>
      <c r="BJ71" s="182"/>
      <c r="BK71" s="182"/>
      <c r="BL71" s="182"/>
      <c r="BM71" s="182"/>
      <c r="BN71" s="182"/>
      <c r="BO71" s="182"/>
      <c r="BP71" s="182"/>
      <c r="BQ71" s="182"/>
      <c r="BR71" s="182"/>
      <c r="BS71" s="182"/>
      <c r="BT71" s="182"/>
      <c r="BU71" s="182"/>
      <c r="BV71" s="182"/>
      <c r="BW71" s="182"/>
      <c r="BX71" s="182"/>
      <c r="BY71" s="182"/>
      <c r="BZ71" s="182"/>
      <c r="CA71" s="182"/>
      <c r="CB71" s="182"/>
      <c r="CC71" s="182"/>
      <c r="CD71" s="182"/>
    </row>
    <row r="72" spans="1:82" ht="12.75" customHeight="1" x14ac:dyDescent="0.5">
      <c r="A72" s="26" t="s">
        <v>236</v>
      </c>
      <c r="C72" s="82" t="s">
        <v>186</v>
      </c>
      <c r="J72" s="56"/>
      <c r="K72" s="56"/>
      <c r="L72" s="56"/>
      <c r="M72" s="56"/>
      <c r="N72" s="56"/>
      <c r="O72" s="56"/>
      <c r="P72" s="56"/>
      <c r="Q72" s="56"/>
      <c r="R72" s="56"/>
      <c r="S72" s="56"/>
      <c r="T72" s="56"/>
      <c r="U72" s="56"/>
      <c r="V72" s="56"/>
      <c r="W72" s="56"/>
      <c r="X72" s="56"/>
      <c r="Y72" s="153"/>
      <c r="Z72" s="56"/>
      <c r="AA72" s="56"/>
      <c r="AB72" s="56"/>
      <c r="AC72" s="56"/>
      <c r="AD72" s="56"/>
      <c r="AE72" s="56"/>
      <c r="AF72" s="56"/>
      <c r="AG72" s="56"/>
      <c r="AH72" s="56"/>
      <c r="AI72" s="56"/>
      <c r="AJ72" s="56"/>
      <c r="AK72" s="56"/>
      <c r="AL72" s="56"/>
      <c r="AM72" s="56"/>
      <c r="AN72" s="56"/>
      <c r="AO72" s="56"/>
      <c r="AP72" s="153"/>
      <c r="AQ72" s="56"/>
      <c r="AR72" s="56"/>
      <c r="AS72" s="56"/>
      <c r="AT72" s="181"/>
      <c r="AU72" s="56"/>
      <c r="AV72" s="56"/>
      <c r="AW72" s="56"/>
      <c r="AX72" s="56"/>
      <c r="AY72" s="56"/>
      <c r="AZ72" s="56"/>
      <c r="BA72" s="56"/>
      <c r="BB72" s="56"/>
      <c r="BC72" s="56"/>
      <c r="BD72" s="56"/>
      <c r="BE72" s="56"/>
      <c r="BF72" s="56"/>
      <c r="BG72" s="56"/>
      <c r="BH72" s="56"/>
      <c r="BI72" s="56"/>
      <c r="BJ72" s="56"/>
      <c r="BK72" s="56"/>
      <c r="BL72" s="56"/>
      <c r="BM72" s="56"/>
      <c r="BN72" s="56"/>
      <c r="BO72" s="56"/>
      <c r="BP72" s="56"/>
      <c r="BQ72" s="56"/>
      <c r="BR72" s="56"/>
      <c r="BS72" s="56"/>
      <c r="BT72" s="56"/>
      <c r="BU72" s="56"/>
      <c r="BV72" s="56"/>
      <c r="BW72" s="56"/>
      <c r="BX72" s="56"/>
      <c r="BY72" s="56"/>
      <c r="BZ72" s="56"/>
      <c r="CA72" s="56"/>
      <c r="CB72" s="56"/>
      <c r="CC72" s="56"/>
      <c r="CD72" s="56"/>
    </row>
    <row r="73" spans="1:82" ht="12.75" customHeight="1" x14ac:dyDescent="0.5">
      <c r="C73" s="87" t="s">
        <v>237</v>
      </c>
      <c r="J73" s="56"/>
      <c r="K73" s="56"/>
      <c r="L73" s="56"/>
      <c r="M73" s="56"/>
      <c r="N73" s="56"/>
      <c r="O73" s="56"/>
      <c r="P73" s="56"/>
      <c r="Q73" s="56"/>
      <c r="R73" s="56"/>
      <c r="S73" s="56"/>
      <c r="T73" s="56"/>
      <c r="U73" s="56"/>
      <c r="V73" s="56"/>
      <c r="W73" s="56"/>
      <c r="X73" s="56"/>
      <c r="Y73" s="180">
        <v>692</v>
      </c>
      <c r="Z73" s="59">
        <v>746</v>
      </c>
      <c r="AA73" s="59">
        <v>816</v>
      </c>
      <c r="AB73" s="59">
        <v>924</v>
      </c>
      <c r="AC73" s="59">
        <v>976</v>
      </c>
      <c r="AD73" s="59">
        <v>1070</v>
      </c>
      <c r="AE73" s="59">
        <v>1172.0999999999999</v>
      </c>
      <c r="AF73" s="59">
        <v>1249</v>
      </c>
      <c r="AG73" s="59">
        <v>1315.8</v>
      </c>
      <c r="AH73" s="59">
        <v>1384.7</v>
      </c>
      <c r="AI73" s="59">
        <v>1501.5</v>
      </c>
      <c r="AJ73" s="59">
        <v>1589.2</v>
      </c>
      <c r="AK73" s="59">
        <v>1690</v>
      </c>
      <c r="AL73" s="59">
        <v>2156</v>
      </c>
      <c r="AM73" s="59">
        <v>3214</v>
      </c>
      <c r="AN73" s="59">
        <v>3227</v>
      </c>
      <c r="AO73" s="59">
        <v>3309</v>
      </c>
      <c r="AP73" s="59">
        <v>3473.8</v>
      </c>
      <c r="AQ73" s="59">
        <v>4034.3</v>
      </c>
      <c r="AR73" s="59">
        <v>4963.7</v>
      </c>
      <c r="AS73" s="59">
        <v>5560.5</v>
      </c>
      <c r="AT73" s="59">
        <v>5430</v>
      </c>
      <c r="AU73" s="59">
        <v>6056.6553600000007</v>
      </c>
      <c r="AV73" s="59">
        <v>8034</v>
      </c>
      <c r="AW73" s="59">
        <v>8222</v>
      </c>
      <c r="AX73" s="59">
        <v>8700.2328000000016</v>
      </c>
      <c r="AY73" s="59">
        <v>9517.9920000000002</v>
      </c>
      <c r="AZ73" s="59">
        <v>10542</v>
      </c>
      <c r="BA73" s="59">
        <v>11396.352000000001</v>
      </c>
      <c r="BB73" s="59">
        <v>11893.248</v>
      </c>
      <c r="BC73" s="56"/>
      <c r="BD73" s="56"/>
      <c r="BE73" s="56"/>
      <c r="BF73" s="56"/>
      <c r="BG73" s="56"/>
      <c r="BH73" s="56"/>
      <c r="BI73" s="56"/>
      <c r="BJ73" s="56"/>
      <c r="BK73" s="56"/>
      <c r="BL73" s="56"/>
      <c r="BM73" s="56"/>
      <c r="BN73" s="56">
        <f>BN83+BN74</f>
        <v>1440278</v>
      </c>
      <c r="BO73" s="56">
        <f>BO74+BO83</f>
        <v>1555626</v>
      </c>
      <c r="BP73" s="56"/>
      <c r="BQ73" s="56"/>
      <c r="BR73" s="56">
        <f>BR74+BR83</f>
        <v>2587208</v>
      </c>
      <c r="BS73" s="56">
        <f>BS74+BS83</f>
        <v>3377438</v>
      </c>
      <c r="BT73" s="56">
        <f>BT74+BT83</f>
        <v>3471519</v>
      </c>
      <c r="BU73" s="56"/>
      <c r="BV73" s="56"/>
      <c r="BW73" s="56"/>
      <c r="BX73" s="56">
        <f>BX74+BX83</f>
        <v>5912917</v>
      </c>
      <c r="BY73" s="56">
        <f>BY74+BY83</f>
        <v>8787421</v>
      </c>
      <c r="BZ73" s="56">
        <f>BZ83+BZ74</f>
        <v>11152251</v>
      </c>
      <c r="CA73" s="56">
        <f>CA74+CA83</f>
        <v>13934332</v>
      </c>
      <c r="CB73" s="56"/>
      <c r="CC73" s="56"/>
      <c r="CD73" s="56"/>
    </row>
    <row r="74" spans="1:82" s="88" customFormat="1" ht="12.75" customHeight="1" x14ac:dyDescent="0.55000000000000004">
      <c r="A74" s="87"/>
      <c r="C74" s="87" t="s">
        <v>238</v>
      </c>
      <c r="J74" s="106"/>
      <c r="K74" s="106"/>
      <c r="L74" s="106"/>
      <c r="M74" s="106"/>
      <c r="N74" s="106"/>
      <c r="O74" s="106"/>
      <c r="P74" s="106"/>
      <c r="Q74" s="106"/>
      <c r="R74" s="106"/>
      <c r="S74" s="106"/>
      <c r="T74" s="106"/>
      <c r="U74" s="106"/>
      <c r="V74" s="106"/>
      <c r="W74" s="106"/>
      <c r="X74" s="106"/>
      <c r="Y74" s="59">
        <v>490</v>
      </c>
      <c r="Z74" s="59">
        <v>491</v>
      </c>
      <c r="AA74" s="59">
        <v>512</v>
      </c>
      <c r="AB74" s="106">
        <v>588</v>
      </c>
      <c r="AC74" s="106">
        <v>626</v>
      </c>
      <c r="AD74" s="106">
        <v>670</v>
      </c>
      <c r="AE74" s="106">
        <v>727</v>
      </c>
      <c r="AF74" s="106">
        <v>791</v>
      </c>
      <c r="AG74" s="106">
        <v>797.9</v>
      </c>
      <c r="AH74" s="106">
        <v>479</v>
      </c>
      <c r="AI74" s="59">
        <v>513.5</v>
      </c>
      <c r="AJ74" s="59">
        <v>516</v>
      </c>
      <c r="AK74" s="59">
        <v>495.6</v>
      </c>
      <c r="AL74" s="59">
        <v>618</v>
      </c>
      <c r="AM74" s="59">
        <v>785</v>
      </c>
      <c r="AN74" s="59">
        <v>868</v>
      </c>
      <c r="AO74" s="59">
        <v>899</v>
      </c>
      <c r="AP74" s="59">
        <v>896.5</v>
      </c>
      <c r="AQ74" s="59">
        <v>946.8</v>
      </c>
      <c r="AR74" s="106">
        <v>1222.5</v>
      </c>
      <c r="AS74" s="106">
        <v>1353</v>
      </c>
      <c r="AT74" s="106"/>
      <c r="AU74" s="106"/>
      <c r="AV74" s="106"/>
      <c r="AW74" s="106"/>
      <c r="AX74" s="106"/>
      <c r="AY74" s="106"/>
      <c r="AZ74" s="106"/>
      <c r="BA74" s="106"/>
      <c r="BB74" s="106"/>
      <c r="BC74" s="106"/>
      <c r="BD74" s="106"/>
      <c r="BE74" s="106"/>
      <c r="BF74" s="106"/>
      <c r="BG74" s="106"/>
      <c r="BH74" s="106"/>
      <c r="BI74" s="106"/>
      <c r="BJ74" s="106"/>
      <c r="BK74" s="106"/>
      <c r="BL74" s="106"/>
      <c r="BM74" s="106"/>
      <c r="BN74" s="106">
        <v>589927</v>
      </c>
      <c r="BO74" s="106">
        <v>617141</v>
      </c>
      <c r="BP74" s="106"/>
      <c r="BQ74" s="106"/>
      <c r="BR74" s="106">
        <v>1109832</v>
      </c>
      <c r="BS74" s="106">
        <v>1327442</v>
      </c>
      <c r="BT74" s="106">
        <v>1340128</v>
      </c>
      <c r="BU74" s="106"/>
      <c r="BV74" s="106"/>
      <c r="BW74" s="106"/>
      <c r="BX74" s="106">
        <v>2020818</v>
      </c>
      <c r="BY74" s="106">
        <v>3598350</v>
      </c>
      <c r="BZ74" s="106">
        <v>4846536</v>
      </c>
      <c r="CA74" s="106">
        <v>6162766</v>
      </c>
      <c r="CB74" s="106"/>
      <c r="CC74" s="106"/>
      <c r="CD74" s="106"/>
    </row>
    <row r="75" spans="1:82" s="88" customFormat="1" ht="12.75" customHeight="1" x14ac:dyDescent="0.55000000000000004">
      <c r="A75" s="87"/>
      <c r="C75" s="87" t="s">
        <v>239</v>
      </c>
      <c r="J75" s="106"/>
      <c r="K75" s="106"/>
      <c r="L75" s="106"/>
      <c r="M75" s="106"/>
      <c r="N75" s="106"/>
      <c r="O75" s="106"/>
      <c r="P75" s="106"/>
      <c r="Q75" s="106"/>
      <c r="R75" s="59">
        <v>137</v>
      </c>
      <c r="S75" s="106">
        <v>148.78799999999998</v>
      </c>
      <c r="T75" s="106">
        <v>142.90800000000002</v>
      </c>
      <c r="U75" s="106">
        <v>154.584</v>
      </c>
      <c r="V75" s="106">
        <v>163.17600000000004</v>
      </c>
      <c r="W75" s="106">
        <v>173.56800000000001</v>
      </c>
      <c r="X75" s="106">
        <v>199.23599999999996</v>
      </c>
      <c r="Y75" s="106">
        <v>221.08800000000002</v>
      </c>
      <c r="Z75" s="68">
        <v>261.61199999999997</v>
      </c>
      <c r="AA75" s="76">
        <v>338</v>
      </c>
      <c r="AB75" s="106">
        <v>400</v>
      </c>
      <c r="AC75" s="106">
        <v>440</v>
      </c>
      <c r="AD75" s="106">
        <v>470</v>
      </c>
      <c r="AE75" s="106">
        <v>523.20000000000005</v>
      </c>
      <c r="AF75" s="106">
        <v>578</v>
      </c>
      <c r="AG75" s="106">
        <v>601.9</v>
      </c>
      <c r="AH75" s="106">
        <v>366.79999999999995</v>
      </c>
      <c r="AI75" s="59">
        <v>401.5</v>
      </c>
      <c r="AJ75" s="59">
        <v>408.4</v>
      </c>
      <c r="AK75" s="59">
        <v>358.8</v>
      </c>
      <c r="AL75" s="59">
        <f t="shared" ref="AL75:AQ75" si="21">AL74-AL76</f>
        <v>505</v>
      </c>
      <c r="AM75" s="59">
        <f t="shared" si="21"/>
        <v>686</v>
      </c>
      <c r="AN75" s="59">
        <f t="shared" si="21"/>
        <v>775.3</v>
      </c>
      <c r="AO75" s="59">
        <f t="shared" si="21"/>
        <v>810</v>
      </c>
      <c r="AP75" s="59">
        <f t="shared" si="21"/>
        <v>811.2</v>
      </c>
      <c r="AQ75" s="59">
        <f t="shared" si="21"/>
        <v>856.09999999999991</v>
      </c>
      <c r="AR75" s="106"/>
      <c r="AS75" s="106"/>
      <c r="AT75" s="106"/>
      <c r="AU75" s="106"/>
      <c r="AV75" s="106"/>
      <c r="AW75" s="106"/>
      <c r="AX75" s="106"/>
      <c r="AY75" s="106"/>
      <c r="AZ75" s="106"/>
      <c r="BA75" s="106"/>
      <c r="BB75" s="106"/>
      <c r="BC75" s="106"/>
      <c r="BD75" s="106"/>
      <c r="BE75" s="106"/>
      <c r="BF75" s="106"/>
      <c r="BG75" s="106"/>
      <c r="BH75" s="106"/>
      <c r="BI75" s="106"/>
      <c r="BJ75" s="106"/>
      <c r="BK75" s="106"/>
      <c r="BL75" s="106"/>
      <c r="BM75" s="106"/>
      <c r="BN75" s="106"/>
      <c r="BO75" s="106"/>
      <c r="BP75" s="106"/>
      <c r="BQ75" s="106"/>
      <c r="BR75" s="106"/>
      <c r="BS75" s="106"/>
      <c r="BT75" s="106"/>
      <c r="BU75" s="106"/>
      <c r="BV75" s="106"/>
      <c r="BW75" s="106"/>
      <c r="BX75" s="106"/>
      <c r="BY75" s="106"/>
      <c r="BZ75" s="106"/>
      <c r="CA75" s="106"/>
      <c r="CB75" s="106"/>
      <c r="CC75" s="106"/>
      <c r="CD75" s="106"/>
    </row>
    <row r="76" spans="1:82" s="88" customFormat="1" ht="12.75" customHeight="1" x14ac:dyDescent="0.55000000000000004">
      <c r="A76" s="87"/>
      <c r="C76" s="87" t="s">
        <v>240</v>
      </c>
      <c r="J76" s="106"/>
      <c r="K76" s="106"/>
      <c r="L76" s="106"/>
      <c r="M76" s="106"/>
      <c r="N76" s="106"/>
      <c r="O76" s="106"/>
      <c r="P76" s="106"/>
      <c r="Q76" s="106"/>
      <c r="R76" s="106"/>
      <c r="S76" s="106"/>
      <c r="T76" s="106"/>
      <c r="U76" s="106"/>
      <c r="V76" s="106"/>
      <c r="W76" s="106"/>
      <c r="X76" s="106"/>
      <c r="Y76" s="106">
        <v>162.60000000000002</v>
      </c>
      <c r="Z76" s="68">
        <v>212.39999999999998</v>
      </c>
      <c r="AA76" s="76">
        <v>174</v>
      </c>
      <c r="AB76" s="106">
        <v>187.99999999999997</v>
      </c>
      <c r="AC76" s="106">
        <v>186</v>
      </c>
      <c r="AD76" s="106">
        <v>200</v>
      </c>
      <c r="AE76" s="106">
        <v>203.8</v>
      </c>
      <c r="AF76" s="106">
        <v>213</v>
      </c>
      <c r="AG76" s="106">
        <v>196</v>
      </c>
      <c r="AH76" s="106">
        <v>112.6</v>
      </c>
      <c r="AI76" s="59">
        <v>112</v>
      </c>
      <c r="AJ76" s="59">
        <v>107.6</v>
      </c>
      <c r="AK76" s="59">
        <v>96.8</v>
      </c>
      <c r="AL76" s="59">
        <v>113</v>
      </c>
      <c r="AM76" s="59">
        <v>99</v>
      </c>
      <c r="AN76" s="106">
        <v>92.7</v>
      </c>
      <c r="AO76" s="106">
        <v>89</v>
      </c>
      <c r="AP76" s="106">
        <v>85.3</v>
      </c>
      <c r="AQ76" s="106">
        <v>90.7</v>
      </c>
      <c r="AR76" s="106">
        <v>123</v>
      </c>
      <c r="AS76" s="106">
        <v>133</v>
      </c>
      <c r="AT76" s="106"/>
      <c r="AU76" s="106"/>
      <c r="AV76" s="106"/>
      <c r="AW76" s="106"/>
      <c r="AX76" s="106"/>
      <c r="AY76" s="106"/>
      <c r="AZ76" s="106"/>
      <c r="BA76" s="106"/>
      <c r="BB76" s="106"/>
      <c r="BC76" s="106"/>
      <c r="BD76" s="106"/>
      <c r="BE76" s="106"/>
      <c r="BF76" s="106"/>
      <c r="BG76" s="106"/>
      <c r="BH76" s="106"/>
      <c r="BI76" s="106"/>
      <c r="BJ76" s="106"/>
      <c r="BK76" s="106"/>
      <c r="BL76" s="106"/>
      <c r="BM76" s="106"/>
      <c r="BN76" s="106"/>
      <c r="BO76" s="106"/>
      <c r="BP76" s="106"/>
      <c r="BQ76" s="106"/>
      <c r="BR76" s="106"/>
      <c r="BS76" s="106"/>
      <c r="BT76" s="106"/>
      <c r="BU76" s="106"/>
      <c r="BV76" s="106"/>
      <c r="BW76" s="106"/>
      <c r="BX76" s="106"/>
      <c r="BY76" s="106"/>
      <c r="BZ76" s="106"/>
      <c r="CA76" s="106"/>
      <c r="CB76" s="106"/>
      <c r="CC76" s="106"/>
      <c r="CD76" s="106"/>
    </row>
    <row r="77" spans="1:82" ht="12.75" customHeight="1" x14ac:dyDescent="0.5">
      <c r="C77" s="87" t="s">
        <v>241</v>
      </c>
      <c r="J77" s="56"/>
      <c r="K77" s="56"/>
      <c r="L77" s="56"/>
      <c r="M77" s="56"/>
      <c r="N77" s="56"/>
      <c r="O77" s="56"/>
      <c r="P77" s="56"/>
      <c r="Q77" s="56"/>
      <c r="R77" s="56"/>
      <c r="S77" s="56"/>
      <c r="T77" s="56"/>
      <c r="U77" s="56"/>
      <c r="V77" s="56"/>
      <c r="W77" s="56"/>
      <c r="X77" s="56"/>
      <c r="Y77" s="56"/>
      <c r="Z77" s="56">
        <f t="shared" ref="Z77:AG77" si="22">Z83</f>
        <v>255</v>
      </c>
      <c r="AA77" s="56">
        <f t="shared" si="22"/>
        <v>305.39999999999998</v>
      </c>
      <c r="AB77" s="56">
        <f t="shared" si="22"/>
        <v>336</v>
      </c>
      <c r="AC77" s="56">
        <f t="shared" si="22"/>
        <v>349</v>
      </c>
      <c r="AD77" s="56">
        <f t="shared" si="22"/>
        <v>400</v>
      </c>
      <c r="AE77" s="56">
        <f t="shared" si="22"/>
        <v>445.6</v>
      </c>
      <c r="AF77" s="56">
        <f t="shared" si="22"/>
        <v>653.5</v>
      </c>
      <c r="AG77" s="56">
        <f t="shared" si="22"/>
        <v>755.7</v>
      </c>
      <c r="AH77" s="56">
        <f>AH83</f>
        <v>905.7</v>
      </c>
      <c r="AI77" s="56">
        <f t="shared" ref="AI77:AQ77" si="23">AI83</f>
        <v>988</v>
      </c>
      <c r="AJ77" s="56">
        <f t="shared" si="23"/>
        <v>1073.1999999999998</v>
      </c>
      <c r="AK77" s="56">
        <f t="shared" si="23"/>
        <v>1194.4000000000001</v>
      </c>
      <c r="AL77" s="56">
        <f t="shared" si="23"/>
        <v>1538</v>
      </c>
      <c r="AM77" s="56">
        <f t="shared" si="23"/>
        <v>2428.8000000000002</v>
      </c>
      <c r="AN77" s="56">
        <f t="shared" si="23"/>
        <v>2359.1</v>
      </c>
      <c r="AO77" s="56">
        <f t="shared" si="23"/>
        <v>2409.6999999999998</v>
      </c>
      <c r="AP77" s="56">
        <f t="shared" si="23"/>
        <v>2577.3000000000002</v>
      </c>
      <c r="AQ77" s="56">
        <f t="shared" si="23"/>
        <v>3087.6000000000004</v>
      </c>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row>
    <row r="78" spans="1:82" s="88" customFormat="1" ht="12.75" customHeight="1" x14ac:dyDescent="0.55000000000000004">
      <c r="A78" s="87"/>
      <c r="C78" s="87" t="s">
        <v>242</v>
      </c>
      <c r="J78" s="106"/>
      <c r="K78" s="106"/>
      <c r="L78" s="106"/>
      <c r="M78" s="106"/>
      <c r="N78" s="106"/>
      <c r="O78" s="106"/>
      <c r="P78" s="59"/>
      <c r="Q78" s="68"/>
      <c r="R78" s="68"/>
      <c r="S78" s="68"/>
      <c r="T78" s="68"/>
      <c r="U78" s="68"/>
      <c r="V78" s="68"/>
      <c r="W78" s="76"/>
      <c r="X78" s="106"/>
      <c r="Y78" s="106"/>
      <c r="Z78" s="68">
        <v>255</v>
      </c>
      <c r="AA78" s="68">
        <v>305</v>
      </c>
      <c r="AB78" s="68">
        <v>336</v>
      </c>
      <c r="AC78" s="106">
        <v>350</v>
      </c>
      <c r="AD78" s="106">
        <v>400</v>
      </c>
      <c r="AE78" s="106">
        <v>445.1</v>
      </c>
      <c r="AF78" s="106">
        <v>457.5</v>
      </c>
      <c r="AG78" s="106">
        <v>517.70000000000005</v>
      </c>
      <c r="AH78" s="106">
        <v>550</v>
      </c>
      <c r="AI78" s="76">
        <v>633</v>
      </c>
      <c r="AJ78" s="76">
        <v>663</v>
      </c>
      <c r="AK78" s="76">
        <v>714</v>
      </c>
      <c r="AL78" s="76">
        <v>898</v>
      </c>
      <c r="AM78" s="76">
        <v>1488</v>
      </c>
      <c r="AN78" s="76">
        <v>1305</v>
      </c>
      <c r="AO78" s="76">
        <v>1332</v>
      </c>
      <c r="AP78" s="106">
        <v>1452.5</v>
      </c>
      <c r="AQ78" s="106">
        <v>1694.7</v>
      </c>
      <c r="AR78" s="106">
        <v>1813.8</v>
      </c>
      <c r="AS78" s="106">
        <v>1988</v>
      </c>
      <c r="AT78" s="106"/>
      <c r="AU78" s="106"/>
      <c r="AV78" s="106"/>
      <c r="AW78" s="106"/>
      <c r="AX78" s="106"/>
      <c r="AY78" s="106"/>
      <c r="AZ78" s="106"/>
      <c r="BA78" s="106"/>
      <c r="BB78" s="106"/>
      <c r="BC78" s="106"/>
      <c r="BD78" s="106"/>
      <c r="BE78" s="106"/>
      <c r="BF78" s="106"/>
      <c r="BG78" s="106"/>
      <c r="BH78" s="106"/>
      <c r="BI78" s="106"/>
      <c r="BJ78" s="106"/>
      <c r="BK78" s="106"/>
      <c r="BL78" s="106"/>
      <c r="BM78" s="106"/>
      <c r="BN78" s="106"/>
      <c r="BO78" s="106"/>
      <c r="BP78" s="106"/>
      <c r="BQ78" s="106"/>
      <c r="BR78" s="106"/>
      <c r="BS78" s="106"/>
      <c r="BT78" s="106"/>
      <c r="BU78" s="106"/>
      <c r="BV78" s="106"/>
      <c r="BW78" s="106"/>
      <c r="BX78" s="106"/>
      <c r="BY78" s="106"/>
      <c r="BZ78" s="106"/>
      <c r="CA78" s="106"/>
      <c r="CB78" s="106"/>
      <c r="CC78" s="106"/>
      <c r="CD78" s="106"/>
    </row>
    <row r="79" spans="1:82" s="88" customFormat="1" ht="12.75" customHeight="1" x14ac:dyDescent="0.55000000000000004">
      <c r="A79" s="87"/>
      <c r="C79" s="87" t="s">
        <v>243</v>
      </c>
      <c r="J79" s="106"/>
      <c r="K79" s="106"/>
      <c r="L79" s="106"/>
      <c r="M79" s="106"/>
      <c r="N79" s="106"/>
      <c r="O79" s="106"/>
      <c r="P79" s="59"/>
      <c r="Q79" s="68"/>
      <c r="R79" s="68">
        <v>80</v>
      </c>
      <c r="S79" s="68">
        <v>83.903999999999996</v>
      </c>
      <c r="T79" s="68">
        <v>96.575999999999993</v>
      </c>
      <c r="U79" s="68">
        <v>107.73599999999999</v>
      </c>
      <c r="V79" s="68">
        <v>109.09199999999998</v>
      </c>
      <c r="W79" s="76">
        <v>119.268</v>
      </c>
      <c r="X79" s="106">
        <v>134.28</v>
      </c>
      <c r="Y79" s="106">
        <v>124.152</v>
      </c>
      <c r="Z79" s="68">
        <v>154</v>
      </c>
      <c r="AA79" s="68">
        <v>201</v>
      </c>
      <c r="AB79" s="68">
        <v>244</v>
      </c>
      <c r="AC79" s="76">
        <v>274</v>
      </c>
      <c r="AD79" s="106">
        <v>310</v>
      </c>
      <c r="AE79" s="106">
        <v>366.20000000000005</v>
      </c>
      <c r="AF79" s="173">
        <v>387.5</v>
      </c>
      <c r="AG79" s="173">
        <v>444.80000000000007</v>
      </c>
      <c r="AH79" s="106">
        <v>499</v>
      </c>
      <c r="AI79" s="106">
        <v>577.4</v>
      </c>
      <c r="AJ79" s="106">
        <v>611.9</v>
      </c>
      <c r="AK79" s="106">
        <v>669.7</v>
      </c>
      <c r="AL79" s="106">
        <f>AL78-AL80</f>
        <v>856</v>
      </c>
      <c r="AM79" s="106">
        <f>AM78-AM80</f>
        <v>1425.5</v>
      </c>
      <c r="AN79" s="106">
        <f>AN78-AN80</f>
        <v>1234.8</v>
      </c>
      <c r="AO79" s="106">
        <f>AO78-AO80</f>
        <v>1285.5999999999999</v>
      </c>
      <c r="AP79" s="106"/>
      <c r="AQ79" s="106"/>
      <c r="AR79" s="106"/>
      <c r="AS79" s="106"/>
      <c r="AT79" s="106"/>
      <c r="AU79" s="106"/>
      <c r="AV79" s="106"/>
      <c r="AW79" s="106"/>
      <c r="AX79" s="106"/>
      <c r="AY79" s="106"/>
      <c r="AZ79" s="106"/>
      <c r="BA79" s="106"/>
      <c r="BB79" s="106"/>
      <c r="BC79" s="106"/>
      <c r="BD79" s="106"/>
      <c r="BE79" s="106"/>
      <c r="BF79" s="106"/>
      <c r="BG79" s="106"/>
      <c r="BH79" s="106"/>
      <c r="BI79" s="106"/>
      <c r="BJ79" s="106"/>
      <c r="BK79" s="106"/>
      <c r="BL79" s="106"/>
      <c r="BM79" s="106"/>
      <c r="BN79" s="106"/>
      <c r="BO79" s="106"/>
      <c r="BP79" s="106"/>
      <c r="BQ79" s="106"/>
      <c r="BR79" s="106"/>
      <c r="BS79" s="106"/>
      <c r="BT79" s="106"/>
      <c r="BU79" s="106"/>
      <c r="BV79" s="106"/>
      <c r="BW79" s="106"/>
      <c r="BX79" s="106"/>
      <c r="BY79" s="106"/>
      <c r="BZ79" s="106"/>
      <c r="CA79" s="106"/>
      <c r="CB79" s="106"/>
      <c r="CC79" s="106"/>
      <c r="CD79" s="106"/>
    </row>
    <row r="80" spans="1:82" s="88" customFormat="1" ht="12.75" customHeight="1" x14ac:dyDescent="0.55000000000000004">
      <c r="A80" s="87"/>
      <c r="C80" s="87" t="s">
        <v>244</v>
      </c>
      <c r="J80" s="106"/>
      <c r="K80" s="106"/>
      <c r="L80" s="106"/>
      <c r="M80" s="106"/>
      <c r="N80" s="106"/>
      <c r="O80" s="106"/>
      <c r="P80" s="59"/>
      <c r="Q80" s="68"/>
      <c r="R80" s="68"/>
      <c r="S80" s="68"/>
      <c r="T80" s="68"/>
      <c r="U80" s="68"/>
      <c r="V80" s="68"/>
      <c r="W80" s="76"/>
      <c r="X80" s="106"/>
      <c r="Y80" s="106">
        <v>101.6</v>
      </c>
      <c r="Z80" s="68">
        <v>101.19999999999999</v>
      </c>
      <c r="AA80" s="68">
        <v>103.99999999999999</v>
      </c>
      <c r="AB80" s="76">
        <v>92</v>
      </c>
      <c r="AC80" s="106">
        <v>76</v>
      </c>
      <c r="AD80" s="106">
        <v>90</v>
      </c>
      <c r="AE80" s="106">
        <v>78.900000000000006</v>
      </c>
      <c r="AF80" s="173">
        <v>70</v>
      </c>
      <c r="AG80" s="173">
        <v>72.900000000000006</v>
      </c>
      <c r="AH80" s="106">
        <v>51</v>
      </c>
      <c r="AI80" s="106">
        <v>55.6</v>
      </c>
      <c r="AJ80" s="106">
        <v>51.1</v>
      </c>
      <c r="AK80" s="106">
        <v>44.3</v>
      </c>
      <c r="AL80" s="106">
        <v>42</v>
      </c>
      <c r="AM80" s="106">
        <v>62.5</v>
      </c>
      <c r="AN80" s="106">
        <v>70.2</v>
      </c>
      <c r="AO80" s="106">
        <v>46.4</v>
      </c>
      <c r="AP80" s="106">
        <v>45.2</v>
      </c>
      <c r="AQ80" s="106">
        <v>77.7</v>
      </c>
      <c r="AR80" s="106"/>
      <c r="AS80" s="106">
        <v>29</v>
      </c>
      <c r="AT80" s="106"/>
      <c r="AU80" s="106"/>
      <c r="AV80" s="106"/>
      <c r="AW80" s="106"/>
      <c r="AX80" s="106"/>
      <c r="AY80" s="106"/>
      <c r="AZ80" s="106"/>
      <c r="BA80" s="106"/>
      <c r="BB80" s="106"/>
      <c r="BC80" s="106"/>
      <c r="BD80" s="106"/>
      <c r="BE80" s="106"/>
      <c r="BF80" s="106"/>
      <c r="BG80" s="106"/>
      <c r="BH80" s="106"/>
      <c r="BI80" s="106"/>
      <c r="BJ80" s="106"/>
      <c r="BK80" s="106"/>
      <c r="BL80" s="106"/>
      <c r="BM80" s="106"/>
      <c r="BN80" s="106"/>
      <c r="BO80" s="106"/>
      <c r="BP80" s="106"/>
      <c r="BQ80" s="106"/>
      <c r="BR80" s="106"/>
      <c r="BS80" s="106"/>
      <c r="BT80" s="106"/>
      <c r="BU80" s="106"/>
      <c r="BV80" s="106"/>
      <c r="BW80" s="106"/>
      <c r="BX80" s="106"/>
      <c r="BY80" s="106"/>
      <c r="BZ80" s="106"/>
      <c r="CA80" s="106"/>
      <c r="CB80" s="106"/>
      <c r="CC80" s="106"/>
      <c r="CD80" s="106"/>
    </row>
    <row r="81" spans="1:82" ht="12.75" customHeight="1" x14ac:dyDescent="0.5">
      <c r="C81" s="92"/>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56"/>
      <c r="BW81" s="56"/>
      <c r="BX81" s="56"/>
      <c r="BY81" s="56"/>
      <c r="BZ81" s="56"/>
      <c r="CA81" s="56"/>
      <c r="CB81" s="56"/>
      <c r="CC81" s="56"/>
      <c r="CD81" s="56"/>
    </row>
    <row r="82" spans="1:82" ht="12.75" customHeight="1" x14ac:dyDescent="0.5">
      <c r="A82" s="26" t="s">
        <v>236</v>
      </c>
      <c r="C82" s="93" t="s">
        <v>195</v>
      </c>
      <c r="J82" s="56"/>
      <c r="K82" s="56"/>
      <c r="L82" s="56"/>
      <c r="M82" s="56"/>
      <c r="N82" s="56"/>
      <c r="O82" s="56"/>
      <c r="P82" s="56"/>
      <c r="Q82" s="56"/>
      <c r="R82" s="56"/>
      <c r="S82" s="56"/>
      <c r="T82" s="56"/>
      <c r="U82" s="56"/>
      <c r="V82" s="56"/>
      <c r="W82" s="56"/>
      <c r="X82" s="56"/>
      <c r="Y82" s="56"/>
      <c r="Z82" s="56"/>
      <c r="AA82" s="201"/>
      <c r="AB82" s="201"/>
      <c r="AC82" s="201"/>
      <c r="AD82" s="201"/>
      <c r="AE82" s="201"/>
      <c r="AF82" s="201"/>
      <c r="AG82" s="201"/>
      <c r="AH82" s="201"/>
      <c r="AI82" s="201"/>
      <c r="AJ82" s="201"/>
      <c r="AK82" s="201"/>
      <c r="AL82" s="201"/>
      <c r="AM82" s="201"/>
      <c r="AN82" s="201"/>
      <c r="AO82" s="201"/>
      <c r="AP82" s="201"/>
      <c r="AQ82" s="201"/>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c r="BZ82" s="56"/>
      <c r="CA82" s="56"/>
      <c r="CB82" s="56"/>
      <c r="CC82" s="56"/>
      <c r="CD82" s="56"/>
    </row>
    <row r="83" spans="1:82" ht="12.75" customHeight="1" x14ac:dyDescent="0.5">
      <c r="C83" s="87" t="s">
        <v>196</v>
      </c>
      <c r="J83" s="56"/>
      <c r="K83" s="56"/>
      <c r="L83" s="56"/>
      <c r="M83" s="56"/>
      <c r="N83" s="56"/>
      <c r="O83" s="56"/>
      <c r="P83" s="56"/>
      <c r="Q83" s="56"/>
      <c r="R83" s="56"/>
      <c r="S83" s="56"/>
      <c r="T83" s="56"/>
      <c r="U83" s="56"/>
      <c r="V83" s="56"/>
      <c r="W83" s="56"/>
      <c r="X83" s="56"/>
      <c r="Y83" s="56"/>
      <c r="Z83" s="153">
        <f>Z84+Z88</f>
        <v>255</v>
      </c>
      <c r="AA83" s="56">
        <f t="shared" ref="AA83:AQ83" si="24">AA84+AA88</f>
        <v>305.39999999999998</v>
      </c>
      <c r="AB83" s="56">
        <f>AB84+AB88</f>
        <v>336</v>
      </c>
      <c r="AC83" s="56">
        <f t="shared" si="24"/>
        <v>349</v>
      </c>
      <c r="AD83" s="56">
        <f t="shared" si="24"/>
        <v>400</v>
      </c>
      <c r="AE83" s="56">
        <f t="shared" si="24"/>
        <v>445.6</v>
      </c>
      <c r="AF83" s="56">
        <f t="shared" si="24"/>
        <v>653.5</v>
      </c>
      <c r="AG83" s="56">
        <f t="shared" si="24"/>
        <v>755.7</v>
      </c>
      <c r="AH83" s="56">
        <f t="shared" si="24"/>
        <v>905.7</v>
      </c>
      <c r="AI83" s="56">
        <f t="shared" si="24"/>
        <v>988</v>
      </c>
      <c r="AJ83" s="56">
        <f t="shared" si="24"/>
        <v>1073.1999999999998</v>
      </c>
      <c r="AK83" s="56">
        <f t="shared" si="24"/>
        <v>1194.4000000000001</v>
      </c>
      <c r="AL83" s="56">
        <f t="shared" si="24"/>
        <v>1538</v>
      </c>
      <c r="AM83" s="56">
        <f t="shared" si="24"/>
        <v>2428.8000000000002</v>
      </c>
      <c r="AN83" s="56">
        <f t="shared" si="24"/>
        <v>2359.1</v>
      </c>
      <c r="AO83" s="56">
        <f t="shared" si="24"/>
        <v>2409.6999999999998</v>
      </c>
      <c r="AP83" s="56">
        <f t="shared" si="24"/>
        <v>2577.3000000000002</v>
      </c>
      <c r="AQ83" s="56">
        <f t="shared" si="24"/>
        <v>3087.6000000000004</v>
      </c>
      <c r="AR83" s="56"/>
      <c r="AS83" s="56"/>
      <c r="AT83" s="56"/>
      <c r="AU83" s="56"/>
      <c r="AV83" s="56"/>
      <c r="AW83" s="56"/>
      <c r="AX83" s="56"/>
      <c r="AY83" s="56"/>
      <c r="AZ83" s="56"/>
      <c r="BA83" s="56"/>
      <c r="BB83" s="56"/>
      <c r="BC83" s="56"/>
      <c r="BD83" s="56"/>
      <c r="BE83" s="56"/>
      <c r="BF83" s="56"/>
      <c r="BG83" s="56"/>
      <c r="BH83" s="56"/>
      <c r="BI83" s="56"/>
      <c r="BJ83" s="56"/>
      <c r="BK83" s="56"/>
      <c r="BL83" s="56"/>
      <c r="BM83" s="56"/>
      <c r="BN83" s="56">
        <f>BN84+BN88</f>
        <v>850351</v>
      </c>
      <c r="BO83" s="56">
        <f>BO84+BO88</f>
        <v>938485</v>
      </c>
      <c r="BP83" s="56"/>
      <c r="BQ83" s="56"/>
      <c r="BR83" s="56">
        <f>BR84+BR88</f>
        <v>1477376</v>
      </c>
      <c r="BS83" s="56">
        <f>BS84+BS88</f>
        <v>2049996</v>
      </c>
      <c r="BT83" s="56">
        <f>BT84+BT88</f>
        <v>2131391</v>
      </c>
      <c r="BU83" s="56"/>
      <c r="BV83" s="56"/>
      <c r="BW83" s="56"/>
      <c r="BX83" s="56">
        <f>BX84+BX88</f>
        <v>3892099</v>
      </c>
      <c r="BY83" s="56">
        <f>BY84+BY88</f>
        <v>5189071</v>
      </c>
      <c r="BZ83" s="56">
        <f>BZ84+BZ88</f>
        <v>6305715</v>
      </c>
      <c r="CA83" s="56">
        <f>CA84+CA88</f>
        <v>7771566</v>
      </c>
      <c r="CB83" s="56"/>
      <c r="CC83" s="56"/>
      <c r="CD83" s="56"/>
    </row>
    <row r="84" spans="1:82" ht="12.75" customHeight="1" x14ac:dyDescent="0.5">
      <c r="C84" s="94" t="s">
        <v>80</v>
      </c>
      <c r="J84" s="56"/>
      <c r="K84" s="56"/>
      <c r="L84" s="56"/>
      <c r="M84" s="56"/>
      <c r="N84" s="56"/>
      <c r="O84" s="56"/>
      <c r="P84" s="56"/>
      <c r="Q84" s="56"/>
      <c r="R84" s="56"/>
      <c r="S84" s="56"/>
      <c r="T84" s="56"/>
      <c r="U84" s="56"/>
      <c r="V84" s="56"/>
      <c r="W84" s="56"/>
      <c r="X84" s="56"/>
      <c r="Y84" s="56"/>
      <c r="Z84" s="153">
        <f>Z85+Z86</f>
        <v>189</v>
      </c>
      <c r="AA84" s="153">
        <f t="shared" ref="AA84:AQ84" si="25">AA85+AA86</f>
        <v>226.4</v>
      </c>
      <c r="AB84" s="56">
        <f>AB85+AB86</f>
        <v>260</v>
      </c>
      <c r="AC84" s="56">
        <f t="shared" si="25"/>
        <v>272</v>
      </c>
      <c r="AD84" s="56">
        <f t="shared" si="25"/>
        <v>314</v>
      </c>
      <c r="AE84" s="56">
        <f t="shared" si="25"/>
        <v>358.7</v>
      </c>
      <c r="AF84" s="56">
        <f t="shared" si="25"/>
        <v>372.8</v>
      </c>
      <c r="AG84" s="56">
        <f t="shared" si="25"/>
        <v>414.3</v>
      </c>
      <c r="AH84" s="56">
        <f t="shared" si="25"/>
        <v>454.3</v>
      </c>
      <c r="AI84" s="56">
        <f t="shared" si="25"/>
        <v>523.20000000000005</v>
      </c>
      <c r="AJ84" s="56">
        <f t="shared" si="25"/>
        <v>544.79999999999995</v>
      </c>
      <c r="AK84" s="56">
        <f t="shared" si="25"/>
        <v>595.4</v>
      </c>
      <c r="AL84" s="56">
        <f t="shared" si="25"/>
        <v>744.80000000000007</v>
      </c>
      <c r="AM84" s="56">
        <f t="shared" si="25"/>
        <v>1272.5</v>
      </c>
      <c r="AN84" s="56">
        <f t="shared" si="25"/>
        <v>1039.0999999999999</v>
      </c>
      <c r="AO84" s="56">
        <f t="shared" si="25"/>
        <v>1062.7</v>
      </c>
      <c r="AP84" s="56">
        <f t="shared" si="25"/>
        <v>1181</v>
      </c>
      <c r="AQ84" s="56">
        <f t="shared" si="25"/>
        <v>1468.5</v>
      </c>
      <c r="AR84" s="56"/>
      <c r="AS84" s="56"/>
      <c r="AT84" s="56"/>
      <c r="AU84" s="56"/>
      <c r="AV84" s="56"/>
      <c r="AW84" s="56"/>
      <c r="AX84" s="56"/>
      <c r="AY84" s="56"/>
      <c r="AZ84" s="56"/>
      <c r="BA84" s="56"/>
      <c r="BB84" s="56"/>
      <c r="BC84" s="56"/>
      <c r="BD84" s="56"/>
      <c r="BE84" s="56"/>
      <c r="BF84" s="56"/>
      <c r="BG84" s="56"/>
      <c r="BH84" s="56"/>
      <c r="BI84" s="56"/>
      <c r="BJ84" s="56"/>
      <c r="BK84" s="56"/>
      <c r="BL84" s="56"/>
      <c r="BM84" s="56"/>
      <c r="BN84" s="59">
        <v>694352</v>
      </c>
      <c r="BO84" s="106">
        <v>624560</v>
      </c>
      <c r="BP84" s="56"/>
      <c r="BQ84" s="56"/>
      <c r="BR84" s="106">
        <v>1054885</v>
      </c>
      <c r="BS84" s="106">
        <v>1456086</v>
      </c>
      <c r="BT84" s="106">
        <v>1510812</v>
      </c>
      <c r="BU84" s="56"/>
      <c r="BV84" s="56"/>
      <c r="BW84" s="56"/>
      <c r="BX84" s="106">
        <v>2681898</v>
      </c>
      <c r="BY84" s="106">
        <v>3428899</v>
      </c>
      <c r="BZ84" s="106">
        <v>4052406</v>
      </c>
      <c r="CA84" s="106">
        <v>5174973</v>
      </c>
      <c r="CB84" s="56"/>
      <c r="CC84" s="56"/>
      <c r="CD84" s="56"/>
    </row>
    <row r="85" spans="1:82" s="88" customFormat="1" ht="12.75" customHeight="1" x14ac:dyDescent="0.5">
      <c r="A85" s="87"/>
      <c r="C85" s="89" t="s">
        <v>81</v>
      </c>
      <c r="J85" s="106"/>
      <c r="K85" s="106"/>
      <c r="L85" s="106"/>
      <c r="M85" s="106"/>
      <c r="N85" s="106"/>
      <c r="O85" s="106"/>
      <c r="P85" s="59"/>
      <c r="Q85" s="68"/>
      <c r="R85" s="68"/>
      <c r="S85" s="68"/>
      <c r="T85" s="68"/>
      <c r="U85" s="68"/>
      <c r="V85" s="68"/>
      <c r="W85" s="76"/>
      <c r="X85" s="106"/>
      <c r="Y85" s="56"/>
      <c r="Z85" s="68">
        <v>159</v>
      </c>
      <c r="AA85" s="68">
        <v>192</v>
      </c>
      <c r="AB85" s="76">
        <v>200</v>
      </c>
      <c r="AC85" s="106">
        <v>206</v>
      </c>
      <c r="AD85" s="106">
        <v>232</v>
      </c>
      <c r="AE85" s="106">
        <v>263</v>
      </c>
      <c r="AF85" s="106">
        <v>272.3</v>
      </c>
      <c r="AG85" s="106">
        <v>300.3</v>
      </c>
      <c r="AH85" s="106">
        <v>321</v>
      </c>
      <c r="AI85" s="106">
        <v>360.7</v>
      </c>
      <c r="AJ85" s="106">
        <v>374.8</v>
      </c>
      <c r="AK85" s="106">
        <v>416</v>
      </c>
      <c r="AL85" s="106">
        <v>619.70000000000005</v>
      </c>
      <c r="AM85" s="106">
        <v>1200.8</v>
      </c>
      <c r="AN85" s="106">
        <v>1039.0999999999999</v>
      </c>
      <c r="AO85" s="59">
        <v>1062.7</v>
      </c>
      <c r="AP85" s="59">
        <v>1181</v>
      </c>
      <c r="AQ85" s="59">
        <v>1468.5</v>
      </c>
      <c r="AR85" s="106"/>
      <c r="AS85" s="106"/>
      <c r="AT85" s="106"/>
      <c r="AU85" s="106"/>
      <c r="AV85" s="106"/>
      <c r="AW85" s="106"/>
      <c r="AX85" s="106"/>
      <c r="AY85" s="106"/>
      <c r="AZ85" s="106"/>
      <c r="BA85" s="106"/>
      <c r="BB85" s="106"/>
      <c r="BC85" s="106"/>
      <c r="BD85" s="106"/>
      <c r="BE85" s="106"/>
      <c r="BF85" s="106"/>
      <c r="BG85" s="106"/>
      <c r="BH85" s="106"/>
      <c r="BI85" s="106"/>
      <c r="BJ85" s="106"/>
      <c r="BK85" s="106"/>
      <c r="BL85" s="106"/>
      <c r="BM85" s="106"/>
      <c r="BN85" s="106"/>
      <c r="BO85" s="106">
        <v>382841</v>
      </c>
      <c r="BP85" s="106"/>
      <c r="BQ85" s="106"/>
      <c r="BR85" s="106"/>
      <c r="BS85" s="106"/>
      <c r="BT85" s="106"/>
      <c r="BU85" s="106"/>
      <c r="BV85" s="106"/>
      <c r="BW85" s="106"/>
      <c r="BX85" s="106"/>
      <c r="BY85" s="106"/>
      <c r="BZ85" s="106"/>
      <c r="CA85" s="106"/>
      <c r="CB85" s="106"/>
      <c r="CC85" s="106"/>
      <c r="CD85" s="106"/>
    </row>
    <row r="86" spans="1:82" s="30" customFormat="1" ht="12.75" customHeight="1" x14ac:dyDescent="0.5">
      <c r="A86" s="87"/>
      <c r="C86" s="89" t="s">
        <v>245</v>
      </c>
      <c r="J86" s="59"/>
      <c r="K86" s="59"/>
      <c r="L86" s="59"/>
      <c r="M86" s="59"/>
      <c r="N86" s="59"/>
      <c r="O86" s="59"/>
      <c r="P86" s="59"/>
      <c r="Q86" s="59"/>
      <c r="R86" s="59"/>
      <c r="S86" s="59"/>
      <c r="T86" s="59"/>
      <c r="U86" s="59"/>
      <c r="V86" s="59"/>
      <c r="W86" s="59"/>
      <c r="X86" s="59"/>
      <c r="Y86" s="56"/>
      <c r="Z86" s="68">
        <f>1.5*20</f>
        <v>30</v>
      </c>
      <c r="AA86" s="68">
        <v>34.4</v>
      </c>
      <c r="AB86" s="68">
        <v>60</v>
      </c>
      <c r="AC86" s="59">
        <v>66</v>
      </c>
      <c r="AD86" s="59">
        <v>82</v>
      </c>
      <c r="AE86" s="59">
        <v>95.7</v>
      </c>
      <c r="AF86" s="59">
        <v>100.5</v>
      </c>
      <c r="AG86" s="59">
        <v>114</v>
      </c>
      <c r="AH86" s="59">
        <v>133.30000000000001</v>
      </c>
      <c r="AI86" s="59">
        <v>162.5</v>
      </c>
      <c r="AJ86" s="59">
        <v>170</v>
      </c>
      <c r="AK86" s="59">
        <v>179.4</v>
      </c>
      <c r="AL86" s="59">
        <v>125.1</v>
      </c>
      <c r="AM86" s="59">
        <v>71.7</v>
      </c>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v>241719</v>
      </c>
      <c r="BP86" s="59"/>
      <c r="BQ86" s="59"/>
      <c r="BR86" s="59"/>
      <c r="BS86" s="59"/>
      <c r="BT86" s="59"/>
      <c r="BU86" s="59"/>
      <c r="BV86" s="59"/>
      <c r="BW86" s="59"/>
      <c r="BX86" s="59"/>
      <c r="BY86" s="59"/>
      <c r="BZ86" s="59"/>
      <c r="CA86" s="59"/>
      <c r="CB86" s="59"/>
      <c r="CC86" s="59"/>
      <c r="CD86" s="59"/>
    </row>
    <row r="87" spans="1:82" ht="12.75" customHeight="1" x14ac:dyDescent="0.5">
      <c r="A87" s="40"/>
      <c r="C87" s="95" t="s">
        <v>197</v>
      </c>
      <c r="J87" s="56"/>
      <c r="K87" s="56"/>
      <c r="L87" s="56"/>
      <c r="M87" s="56"/>
      <c r="N87" s="56"/>
      <c r="O87" s="56"/>
      <c r="P87" s="56"/>
      <c r="Q87" s="56"/>
      <c r="R87" s="56"/>
      <c r="S87" s="56"/>
      <c r="T87" s="56"/>
      <c r="U87" s="56"/>
      <c r="V87" s="56"/>
      <c r="W87" s="56"/>
      <c r="X87" s="56"/>
      <c r="Y87" s="56"/>
      <c r="Z87" s="153"/>
      <c r="AA87" s="153"/>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row>
    <row r="88" spans="1:82" ht="12.75" customHeight="1" x14ac:dyDescent="0.5">
      <c r="C88" s="84" t="s">
        <v>198</v>
      </c>
      <c r="J88" s="56"/>
      <c r="K88" s="56"/>
      <c r="L88" s="56"/>
      <c r="M88" s="56"/>
      <c r="N88" s="56"/>
      <c r="O88" s="56"/>
      <c r="P88" s="56"/>
      <c r="Q88" s="56"/>
      <c r="R88" s="56"/>
      <c r="S88" s="56"/>
      <c r="T88" s="56"/>
      <c r="U88" s="56"/>
      <c r="V88" s="56"/>
      <c r="W88" s="56"/>
      <c r="X88" s="56"/>
      <c r="Y88" s="56"/>
      <c r="Z88" s="153">
        <f>SUM(Z89:Z92)</f>
        <v>66</v>
      </c>
      <c r="AA88" s="153">
        <f>SUM(AA89:AA92)</f>
        <v>79</v>
      </c>
      <c r="AB88" s="56">
        <f>SUM(AB89:AB92)</f>
        <v>76</v>
      </c>
      <c r="AC88" s="56">
        <f>SUM(AC89:AC92)</f>
        <v>77</v>
      </c>
      <c r="AD88" s="56">
        <f t="shared" ref="AD88:AR88" si="26">SUM(AD89:AD92)</f>
        <v>86</v>
      </c>
      <c r="AE88" s="56">
        <f t="shared" si="26"/>
        <v>86.9</v>
      </c>
      <c r="AF88" s="56">
        <f t="shared" si="26"/>
        <v>280.7</v>
      </c>
      <c r="AG88" s="56">
        <f t="shared" si="26"/>
        <v>341.4</v>
      </c>
      <c r="AH88" s="56">
        <f t="shared" si="26"/>
        <v>451.4</v>
      </c>
      <c r="AI88" s="56">
        <f t="shared" si="26"/>
        <v>464.79999999999995</v>
      </c>
      <c r="AJ88" s="56">
        <f t="shared" si="26"/>
        <v>528.4</v>
      </c>
      <c r="AK88" s="56">
        <f t="shared" si="26"/>
        <v>599</v>
      </c>
      <c r="AL88" s="56">
        <f t="shared" si="26"/>
        <v>793.2</v>
      </c>
      <c r="AM88" s="56">
        <f t="shared" si="26"/>
        <v>1156.3</v>
      </c>
      <c r="AN88" s="56">
        <f t="shared" si="26"/>
        <v>1320</v>
      </c>
      <c r="AO88" s="56">
        <f t="shared" si="26"/>
        <v>1347</v>
      </c>
      <c r="AP88" s="56">
        <f t="shared" si="26"/>
        <v>1396.3000000000002</v>
      </c>
      <c r="AQ88" s="56">
        <f t="shared" si="26"/>
        <v>1619.1000000000001</v>
      </c>
      <c r="AR88" s="56">
        <f t="shared" si="26"/>
        <v>1990</v>
      </c>
      <c r="AS88" s="56">
        <f>SUM(AS89:AS92)</f>
        <v>2221</v>
      </c>
      <c r="AT88" s="56"/>
      <c r="AU88" s="56"/>
      <c r="AV88" s="56"/>
      <c r="AW88" s="56"/>
      <c r="AX88" s="56"/>
      <c r="AY88" s="56"/>
      <c r="AZ88" s="56"/>
      <c r="BA88" s="56"/>
      <c r="BB88" s="56"/>
      <c r="BC88" s="56"/>
      <c r="BD88" s="56"/>
      <c r="BE88" s="56"/>
      <c r="BF88" s="56"/>
      <c r="BG88" s="56"/>
      <c r="BH88" s="56"/>
      <c r="BI88" s="56"/>
      <c r="BJ88" s="56"/>
      <c r="BK88" s="56"/>
      <c r="BL88" s="56"/>
      <c r="BM88" s="56"/>
      <c r="BN88" s="56">
        <f>SUM(BN89:BN91)</f>
        <v>155999</v>
      </c>
      <c r="BO88" s="56">
        <f>SUM(BO89:BO91)</f>
        <v>313925</v>
      </c>
      <c r="BP88" s="56"/>
      <c r="BQ88" s="56"/>
      <c r="BR88" s="56">
        <f>SUM(BR89:BR91)</f>
        <v>422491</v>
      </c>
      <c r="BS88" s="56">
        <f>SUM(BS89:BS91)</f>
        <v>593910</v>
      </c>
      <c r="BT88" s="56">
        <f>SUM(BT89:BT91)</f>
        <v>620579</v>
      </c>
      <c r="BU88" s="56"/>
      <c r="BV88" s="56"/>
      <c r="BW88" s="56"/>
      <c r="BX88" s="56">
        <f>SUM(BX89:BX91)</f>
        <v>1210201</v>
      </c>
      <c r="BY88" s="56">
        <f>SUM(BY89:BY91)</f>
        <v>1760172</v>
      </c>
      <c r="BZ88" s="56">
        <f>SUM(BZ89:BZ91)</f>
        <v>2253309</v>
      </c>
      <c r="CA88" s="56">
        <f>SUM(CA89:CA91)</f>
        <v>2596593</v>
      </c>
      <c r="CB88" s="56"/>
      <c r="CC88" s="56"/>
      <c r="CD88" s="56"/>
    </row>
    <row r="89" spans="1:82" s="30" customFormat="1" ht="12.75" customHeight="1" x14ac:dyDescent="0.55000000000000004">
      <c r="C89" s="89" t="s">
        <v>246</v>
      </c>
      <c r="J89" s="59"/>
      <c r="K89" s="59"/>
      <c r="L89" s="59"/>
      <c r="M89" s="59"/>
      <c r="N89" s="59"/>
      <c r="O89" s="59"/>
      <c r="P89" s="59"/>
      <c r="Q89" s="59"/>
      <c r="R89" s="59"/>
      <c r="S89" s="59"/>
      <c r="T89" s="59"/>
      <c r="U89" s="59"/>
      <c r="V89" s="59"/>
      <c r="W89" s="59"/>
      <c r="X89" s="59"/>
      <c r="Y89" s="59"/>
      <c r="Z89" s="68"/>
      <c r="AA89" s="68"/>
      <c r="AB89" s="59"/>
      <c r="AC89" s="59"/>
      <c r="AD89" s="59"/>
      <c r="AE89" s="59"/>
      <c r="AF89" s="59">
        <v>196</v>
      </c>
      <c r="AG89" s="59">
        <v>238</v>
      </c>
      <c r="AH89" s="59">
        <v>269</v>
      </c>
      <c r="AI89" s="59">
        <v>300</v>
      </c>
      <c r="AJ89" s="59">
        <v>368</v>
      </c>
      <c r="AK89" s="59">
        <v>426</v>
      </c>
      <c r="AL89" s="59">
        <v>578</v>
      </c>
      <c r="AM89" s="59">
        <v>866</v>
      </c>
      <c r="AN89" s="59">
        <v>971</v>
      </c>
      <c r="AO89" s="59">
        <v>997</v>
      </c>
      <c r="AP89" s="59">
        <v>1044.2</v>
      </c>
      <c r="AQ89" s="59">
        <v>1322.9</v>
      </c>
      <c r="AR89" s="59">
        <v>1656.2</v>
      </c>
      <c r="AS89" s="59">
        <v>1837</v>
      </c>
      <c r="AT89" s="59"/>
      <c r="AU89" s="59"/>
      <c r="AV89" s="59"/>
      <c r="AW89" s="59"/>
      <c r="AX89" s="59"/>
      <c r="AY89" s="59"/>
      <c r="AZ89" s="59"/>
      <c r="BA89" s="59"/>
      <c r="BB89" s="59"/>
      <c r="BC89" s="59"/>
      <c r="BD89" s="59"/>
      <c r="BE89" s="59"/>
      <c r="BF89" s="59"/>
      <c r="BG89" s="59"/>
      <c r="BH89" s="59"/>
      <c r="BI89" s="59"/>
      <c r="BJ89" s="59"/>
      <c r="BK89" s="59"/>
      <c r="BL89" s="59"/>
      <c r="BM89" s="59"/>
      <c r="BN89" s="59">
        <v>136602</v>
      </c>
      <c r="BO89" s="59">
        <v>238671</v>
      </c>
      <c r="BP89" s="59"/>
      <c r="BQ89" s="59"/>
      <c r="BR89" s="59">
        <v>215535</v>
      </c>
      <c r="BS89" s="59">
        <v>397174</v>
      </c>
      <c r="BT89" s="59">
        <v>365670</v>
      </c>
      <c r="BU89" s="59"/>
      <c r="BV89" s="59"/>
      <c r="BW89" s="59"/>
      <c r="BX89" s="59">
        <v>477372</v>
      </c>
      <c r="BY89" s="59">
        <v>532182</v>
      </c>
      <c r="BZ89" s="59">
        <v>584359</v>
      </c>
      <c r="CA89" s="59">
        <v>716111</v>
      </c>
      <c r="CB89" s="59"/>
      <c r="CC89" s="59"/>
      <c r="CD89" s="59"/>
    </row>
    <row r="90" spans="1:82" s="30" customFormat="1" ht="12.75" customHeight="1" x14ac:dyDescent="0.55000000000000004">
      <c r="C90" s="89" t="s">
        <v>247</v>
      </c>
      <c r="J90" s="59"/>
      <c r="K90" s="59"/>
      <c r="L90" s="59"/>
      <c r="M90" s="59"/>
      <c r="N90" s="59"/>
      <c r="O90" s="59"/>
      <c r="P90" s="59"/>
      <c r="Q90" s="59"/>
      <c r="R90" s="59"/>
      <c r="S90" s="59"/>
      <c r="T90" s="59"/>
      <c r="U90" s="59"/>
      <c r="V90" s="59"/>
      <c r="W90" s="59"/>
      <c r="X90" s="59"/>
      <c r="Y90" s="59"/>
      <c r="Z90" s="68"/>
      <c r="AA90" s="68"/>
      <c r="AB90" s="59"/>
      <c r="AC90" s="59"/>
      <c r="AD90" s="59"/>
      <c r="AE90" s="59"/>
      <c r="AF90" s="59"/>
      <c r="AG90" s="59"/>
      <c r="AH90" s="59">
        <v>12</v>
      </c>
      <c r="AI90" s="59">
        <v>14.2</v>
      </c>
      <c r="AJ90" s="59">
        <v>12.9</v>
      </c>
      <c r="AK90" s="59">
        <v>24.4</v>
      </c>
      <c r="AL90" s="59">
        <v>36</v>
      </c>
      <c r="AM90" s="59">
        <v>45</v>
      </c>
      <c r="AN90" s="59">
        <v>50</v>
      </c>
      <c r="AO90" s="59">
        <v>54</v>
      </c>
      <c r="AP90" s="59">
        <v>55.5</v>
      </c>
      <c r="AQ90" s="59">
        <v>46.8</v>
      </c>
      <c r="AR90" s="59">
        <v>72.599999999999994</v>
      </c>
      <c r="AS90" s="59">
        <v>111</v>
      </c>
      <c r="AT90" s="59"/>
      <c r="AU90" s="59"/>
      <c r="AV90" s="59"/>
      <c r="AW90" s="59"/>
      <c r="AX90" s="59"/>
      <c r="AY90" s="59"/>
      <c r="AZ90" s="59"/>
      <c r="BA90" s="59"/>
      <c r="BB90" s="59"/>
      <c r="BC90" s="59"/>
      <c r="BD90" s="59"/>
      <c r="BE90" s="59"/>
      <c r="BF90" s="59"/>
      <c r="BG90" s="59"/>
      <c r="BH90" s="59"/>
      <c r="BI90" s="59"/>
      <c r="BJ90" s="59"/>
      <c r="BK90" s="59"/>
      <c r="BL90" s="59"/>
      <c r="BM90" s="59"/>
      <c r="BN90" s="59">
        <v>8378</v>
      </c>
      <c r="BO90" s="59">
        <v>24251</v>
      </c>
      <c r="BP90" s="59"/>
      <c r="BQ90" s="59"/>
      <c r="BR90" s="59">
        <v>8272</v>
      </c>
      <c r="BS90" s="59">
        <v>9268</v>
      </c>
      <c r="BT90" s="59">
        <v>16496</v>
      </c>
      <c r="BU90" s="59"/>
      <c r="BV90" s="59"/>
      <c r="BW90" s="59"/>
      <c r="BX90" s="59">
        <v>38446</v>
      </c>
      <c r="BY90" s="59">
        <v>42562</v>
      </c>
      <c r="BZ90" s="59">
        <v>43871</v>
      </c>
      <c r="CA90" s="59">
        <v>175287</v>
      </c>
      <c r="CB90" s="59"/>
      <c r="CC90" s="59"/>
      <c r="CD90" s="59"/>
    </row>
    <row r="91" spans="1:82" s="30" customFormat="1" ht="12.75" customHeight="1" x14ac:dyDescent="0.55000000000000004">
      <c r="C91" s="89" t="s">
        <v>248</v>
      </c>
      <c r="J91" s="59"/>
      <c r="K91" s="59"/>
      <c r="L91" s="59"/>
      <c r="M91" s="59"/>
      <c r="N91" s="59"/>
      <c r="O91" s="59"/>
      <c r="P91" s="59"/>
      <c r="Q91" s="59"/>
      <c r="R91" s="59"/>
      <c r="S91" s="59"/>
      <c r="T91" s="59"/>
      <c r="U91" s="59"/>
      <c r="V91" s="59"/>
      <c r="W91" s="59"/>
      <c r="X91" s="59"/>
      <c r="Y91" s="59"/>
      <c r="Z91" s="68"/>
      <c r="AA91" s="68"/>
      <c r="AB91" s="59"/>
      <c r="AC91" s="59"/>
      <c r="AD91" s="59"/>
      <c r="AE91" s="59"/>
      <c r="AF91" s="59"/>
      <c r="AG91" s="59"/>
      <c r="AH91" s="59">
        <v>74</v>
      </c>
      <c r="AI91" s="59">
        <v>40.5</v>
      </c>
      <c r="AJ91" s="59">
        <v>29.5</v>
      </c>
      <c r="AK91" s="59">
        <v>29.7</v>
      </c>
      <c r="AL91" s="59">
        <v>26.7</v>
      </c>
      <c r="AM91" s="59">
        <v>30</v>
      </c>
      <c r="AN91" s="59">
        <v>33</v>
      </c>
      <c r="AO91" s="59">
        <v>27</v>
      </c>
      <c r="AP91" s="59">
        <v>25.2</v>
      </c>
      <c r="AQ91" s="59">
        <v>23.2</v>
      </c>
      <c r="AR91" s="59">
        <v>21.5</v>
      </c>
      <c r="AS91" s="59"/>
      <c r="AT91" s="59"/>
      <c r="AU91" s="59"/>
      <c r="AV91" s="59"/>
      <c r="AW91" s="59"/>
      <c r="AX91" s="59"/>
      <c r="AY91" s="59"/>
      <c r="AZ91" s="59"/>
      <c r="BA91" s="59"/>
      <c r="BB91" s="59"/>
      <c r="BC91" s="59"/>
      <c r="BD91" s="59"/>
      <c r="BE91" s="59"/>
      <c r="BF91" s="59"/>
      <c r="BG91" s="59"/>
      <c r="BH91" s="59"/>
      <c r="BI91" s="59"/>
      <c r="BJ91" s="59"/>
      <c r="BK91" s="59"/>
      <c r="BL91" s="59"/>
      <c r="BM91" s="59"/>
      <c r="BN91" s="59">
        <v>11019</v>
      </c>
      <c r="BO91" s="59">
        <v>51003</v>
      </c>
      <c r="BP91" s="59"/>
      <c r="BQ91" s="59"/>
      <c r="BR91" s="59">
        <v>198684</v>
      </c>
      <c r="BS91" s="59">
        <v>187468</v>
      </c>
      <c r="BT91" s="59">
        <v>238413</v>
      </c>
      <c r="BU91" s="59"/>
      <c r="BV91" s="59"/>
      <c r="BW91" s="59"/>
      <c r="BX91" s="106">
        <v>694383</v>
      </c>
      <c r="BY91" s="106">
        <v>1185428</v>
      </c>
      <c r="BZ91" s="106">
        <v>1625079</v>
      </c>
      <c r="CA91" s="106">
        <v>1705195</v>
      </c>
      <c r="CB91" s="59"/>
      <c r="CC91" s="59"/>
      <c r="CD91" s="59"/>
    </row>
    <row r="92" spans="1:82" s="88" customFormat="1" ht="12.75" customHeight="1" x14ac:dyDescent="0.5">
      <c r="A92" s="87"/>
      <c r="C92" s="89" t="s">
        <v>202</v>
      </c>
      <c r="J92" s="106"/>
      <c r="K92" s="106"/>
      <c r="L92" s="106"/>
      <c r="M92" s="106"/>
      <c r="N92" s="106"/>
      <c r="O92" s="106"/>
      <c r="P92" s="59"/>
      <c r="Q92" s="68"/>
      <c r="R92" s="68"/>
      <c r="S92" s="68"/>
      <c r="T92" s="68"/>
      <c r="U92" s="68"/>
      <c r="V92" s="68"/>
      <c r="W92" s="76"/>
      <c r="X92" s="106"/>
      <c r="Y92" s="56"/>
      <c r="Z92" s="68">
        <v>66</v>
      </c>
      <c r="AA92" s="68">
        <v>79</v>
      </c>
      <c r="AB92" s="76">
        <v>76</v>
      </c>
      <c r="AC92" s="76">
        <v>77</v>
      </c>
      <c r="AD92" s="76">
        <v>86</v>
      </c>
      <c r="AE92" s="76">
        <v>86.9</v>
      </c>
      <c r="AF92" s="76">
        <v>84.7</v>
      </c>
      <c r="AG92" s="76">
        <v>103.4</v>
      </c>
      <c r="AH92" s="76">
        <v>96.4</v>
      </c>
      <c r="AI92" s="76">
        <v>110.1</v>
      </c>
      <c r="AJ92" s="76">
        <v>118</v>
      </c>
      <c r="AK92" s="76">
        <v>118.89999999999999</v>
      </c>
      <c r="AL92" s="76">
        <v>152.5</v>
      </c>
      <c r="AM92" s="76">
        <v>215.3</v>
      </c>
      <c r="AN92" s="76">
        <v>266</v>
      </c>
      <c r="AO92" s="76">
        <v>269</v>
      </c>
      <c r="AP92" s="76">
        <v>271.39999999999998</v>
      </c>
      <c r="AQ92" s="76">
        <v>226.20000000000002</v>
      </c>
      <c r="AR92" s="76">
        <v>239.70000000000002</v>
      </c>
      <c r="AS92" s="76">
        <v>273</v>
      </c>
      <c r="AT92" s="106"/>
      <c r="AU92" s="106"/>
      <c r="AV92" s="106"/>
      <c r="AW92" s="106"/>
      <c r="AX92" s="106"/>
      <c r="AY92" s="106"/>
      <c r="AZ92" s="106"/>
      <c r="BA92" s="106"/>
      <c r="BB92" s="106"/>
      <c r="BC92" s="106"/>
      <c r="BD92" s="106"/>
      <c r="BE92" s="106"/>
      <c r="BF92" s="106"/>
      <c r="BG92" s="106"/>
      <c r="BH92" s="106"/>
      <c r="BI92" s="106"/>
      <c r="BJ92" s="106"/>
      <c r="BK92" s="106"/>
      <c r="BL92" s="106"/>
      <c r="BM92" s="106"/>
      <c r="BN92" s="106"/>
      <c r="BO92" s="106"/>
      <c r="BP92" s="106"/>
      <c r="BQ92" s="106"/>
      <c r="BR92" s="106"/>
      <c r="BS92" s="106"/>
      <c r="BT92" s="106"/>
      <c r="BU92" s="106"/>
      <c r="BV92" s="106"/>
      <c r="BW92" s="106"/>
      <c r="BX92" s="106"/>
      <c r="BY92" s="106"/>
      <c r="BZ92" s="106"/>
      <c r="CA92" s="106"/>
      <c r="CB92" s="106"/>
      <c r="CC92" s="106"/>
      <c r="CD92" s="106"/>
    </row>
    <row r="93" spans="1:82" s="88" customFormat="1" ht="12.75" customHeight="1" x14ac:dyDescent="0.5">
      <c r="A93" s="87"/>
      <c r="C93" s="97" t="s">
        <v>203</v>
      </c>
      <c r="J93" s="106"/>
      <c r="K93" s="106"/>
      <c r="L93" s="106"/>
      <c r="M93" s="106"/>
      <c r="N93" s="106"/>
      <c r="O93" s="106"/>
      <c r="P93" s="59"/>
      <c r="Q93" s="68"/>
      <c r="R93" s="68"/>
      <c r="S93" s="68"/>
      <c r="T93" s="68"/>
      <c r="U93" s="68"/>
      <c r="V93" s="68"/>
      <c r="W93" s="76"/>
      <c r="X93" s="106"/>
      <c r="Y93" s="56"/>
      <c r="Z93" s="68">
        <v>8</v>
      </c>
      <c r="AA93" s="68">
        <v>10</v>
      </c>
      <c r="AB93" s="76">
        <v>12</v>
      </c>
      <c r="AC93" s="106">
        <v>11</v>
      </c>
      <c r="AD93" s="106">
        <v>12</v>
      </c>
      <c r="AE93" s="106">
        <v>15.4</v>
      </c>
      <c r="AF93" s="106">
        <v>14.9</v>
      </c>
      <c r="AG93" s="106">
        <v>16.600000000000001</v>
      </c>
      <c r="AH93" s="106">
        <v>19</v>
      </c>
      <c r="AI93" s="106">
        <v>18.399999999999999</v>
      </c>
      <c r="AJ93" s="106">
        <v>21</v>
      </c>
      <c r="AK93" s="106">
        <v>21</v>
      </c>
      <c r="AL93" s="106">
        <v>29.7</v>
      </c>
      <c r="AM93" s="106">
        <v>34.700000000000003</v>
      </c>
      <c r="AN93" s="106">
        <v>53.8</v>
      </c>
      <c r="AO93" s="106">
        <v>67</v>
      </c>
      <c r="AP93" s="106">
        <v>64.5</v>
      </c>
      <c r="AQ93" s="106">
        <v>61.4</v>
      </c>
      <c r="AR93" s="106">
        <v>78.400000000000006</v>
      </c>
      <c r="AS93" s="106">
        <v>83</v>
      </c>
      <c r="AT93" s="106"/>
      <c r="AU93" s="106"/>
      <c r="AV93" s="106"/>
      <c r="AW93" s="106"/>
      <c r="AX93" s="106"/>
      <c r="AY93" s="106"/>
      <c r="AZ93" s="106"/>
      <c r="BA93" s="106"/>
      <c r="BB93" s="106"/>
      <c r="BC93" s="106"/>
      <c r="BD93" s="106"/>
      <c r="BE93" s="106"/>
      <c r="BF93" s="106"/>
      <c r="BG93" s="106"/>
      <c r="BH93" s="106"/>
      <c r="BI93" s="106"/>
      <c r="BJ93" s="106"/>
      <c r="BK93" s="106"/>
      <c r="BL93" s="106"/>
      <c r="BM93" s="106"/>
      <c r="BN93" s="106"/>
      <c r="BO93" s="106"/>
      <c r="BP93" s="106"/>
      <c r="BQ93" s="106"/>
      <c r="BR93" s="106"/>
      <c r="BS93" s="106"/>
      <c r="BT93" s="106"/>
      <c r="BU93" s="106"/>
      <c r="BV93" s="106"/>
      <c r="BW93" s="106"/>
      <c r="BX93" s="106"/>
      <c r="BY93" s="106"/>
      <c r="BZ93" s="106"/>
      <c r="CA93" s="106"/>
      <c r="CB93" s="106"/>
      <c r="CC93" s="106"/>
      <c r="CD93" s="106"/>
    </row>
    <row r="94" spans="1:82" s="30" customFormat="1" ht="12.75" customHeight="1" x14ac:dyDescent="0.5">
      <c r="A94" s="87"/>
      <c r="C94" s="97" t="s">
        <v>204</v>
      </c>
      <c r="J94" s="59"/>
      <c r="K94" s="59"/>
      <c r="L94" s="59"/>
      <c r="M94" s="59"/>
      <c r="N94" s="59"/>
      <c r="O94" s="59"/>
      <c r="P94" s="59"/>
      <c r="Q94" s="59"/>
      <c r="R94" s="59"/>
      <c r="S94" s="59"/>
      <c r="T94" s="59"/>
      <c r="U94" s="59"/>
      <c r="V94" s="59"/>
      <c r="W94" s="59"/>
      <c r="X94" s="59"/>
      <c r="Y94" s="56"/>
      <c r="Z94" s="68">
        <v>51</v>
      </c>
      <c r="AA94" s="68">
        <v>63</v>
      </c>
      <c r="AB94" s="68">
        <v>54</v>
      </c>
      <c r="AC94" s="59">
        <v>56</v>
      </c>
      <c r="AD94" s="59">
        <v>62</v>
      </c>
      <c r="AE94" s="59">
        <v>61.6</v>
      </c>
      <c r="AF94" s="59">
        <v>58.6</v>
      </c>
      <c r="AG94" s="59">
        <v>72.3</v>
      </c>
      <c r="AH94" s="59">
        <v>60</v>
      </c>
      <c r="AI94" s="59">
        <v>74.599999999999994</v>
      </c>
      <c r="AJ94" s="59">
        <v>81.2</v>
      </c>
      <c r="AK94" s="59">
        <v>85.3</v>
      </c>
      <c r="AL94" s="59">
        <v>102</v>
      </c>
      <c r="AM94" s="59">
        <v>151.80000000000001</v>
      </c>
      <c r="AN94" s="59">
        <v>176.7</v>
      </c>
      <c r="AO94" s="59">
        <v>165.7</v>
      </c>
      <c r="AP94" s="59">
        <v>164.2</v>
      </c>
      <c r="AQ94" s="59">
        <v>133.30000000000001</v>
      </c>
      <c r="AR94" s="59">
        <v>135.30000000000001</v>
      </c>
      <c r="AS94" s="59">
        <v>164</v>
      </c>
      <c r="AT94" s="59"/>
      <c r="AU94" s="59"/>
      <c r="AV94" s="59"/>
      <c r="AW94" s="59"/>
      <c r="AX94" s="59"/>
      <c r="AY94" s="59"/>
      <c r="AZ94" s="59"/>
      <c r="BA94" s="59"/>
      <c r="BB94" s="59"/>
      <c r="BC94" s="59"/>
      <c r="BD94" s="59"/>
      <c r="BE94" s="59"/>
      <c r="BF94" s="59"/>
      <c r="BG94" s="59"/>
      <c r="BH94" s="59"/>
      <c r="BI94" s="59"/>
      <c r="BJ94" s="59"/>
      <c r="BK94" s="59"/>
      <c r="BL94" s="59"/>
      <c r="BM94" s="59"/>
      <c r="BN94" s="59"/>
      <c r="BO94" s="59"/>
      <c r="BP94" s="59"/>
      <c r="BQ94" s="59"/>
      <c r="BR94" s="59"/>
      <c r="BS94" s="59"/>
      <c r="BT94" s="59"/>
      <c r="BU94" s="59"/>
      <c r="BV94" s="59"/>
      <c r="BW94" s="59"/>
      <c r="BX94" s="59"/>
      <c r="BY94" s="59"/>
      <c r="BZ94" s="59"/>
      <c r="CA94" s="59"/>
      <c r="CB94" s="59"/>
      <c r="CC94" s="59"/>
      <c r="CD94" s="59"/>
    </row>
    <row r="95" spans="1:82" s="30" customFormat="1" ht="12.75" customHeight="1" x14ac:dyDescent="0.5">
      <c r="A95" s="87"/>
      <c r="C95" s="97" t="s">
        <v>205</v>
      </c>
      <c r="J95" s="59"/>
      <c r="K95" s="59"/>
      <c r="L95" s="59"/>
      <c r="M95" s="59"/>
      <c r="N95" s="59"/>
      <c r="O95" s="59"/>
      <c r="P95" s="59"/>
      <c r="Q95" s="59"/>
      <c r="R95" s="59"/>
      <c r="S95" s="59"/>
      <c r="T95" s="59"/>
      <c r="U95" s="59"/>
      <c r="V95" s="59"/>
      <c r="W95" s="59"/>
      <c r="X95" s="59"/>
      <c r="Y95" s="56"/>
      <c r="Z95" s="68">
        <v>7</v>
      </c>
      <c r="AA95" s="68">
        <v>6</v>
      </c>
      <c r="AB95" s="68">
        <v>10</v>
      </c>
      <c r="AC95" s="59">
        <v>10</v>
      </c>
      <c r="AD95" s="59">
        <v>12</v>
      </c>
      <c r="AE95" s="59">
        <v>9.9</v>
      </c>
      <c r="AF95" s="59">
        <v>11.2</v>
      </c>
      <c r="AG95" s="59">
        <v>14.5</v>
      </c>
      <c r="AH95" s="59">
        <v>17.399999999999999</v>
      </c>
      <c r="AI95" s="59">
        <v>17.100000000000001</v>
      </c>
      <c r="AJ95" s="59">
        <v>15.8</v>
      </c>
      <c r="AK95" s="59">
        <v>12.6</v>
      </c>
      <c r="AL95" s="59">
        <v>20.8</v>
      </c>
      <c r="AM95" s="59">
        <v>28.8</v>
      </c>
      <c r="AN95" s="59">
        <v>35.5</v>
      </c>
      <c r="AO95" s="59">
        <v>36.299999999999997</v>
      </c>
      <c r="AP95" s="59">
        <v>42.7</v>
      </c>
      <c r="AQ95" s="59">
        <v>31.5</v>
      </c>
      <c r="AR95" s="59">
        <v>26</v>
      </c>
      <c r="AS95" s="59">
        <v>26</v>
      </c>
      <c r="AT95" s="59"/>
      <c r="AU95" s="59"/>
      <c r="AV95" s="59"/>
      <c r="AW95" s="59"/>
      <c r="AX95" s="59"/>
      <c r="AY95" s="59"/>
      <c r="AZ95" s="59"/>
      <c r="BA95" s="59"/>
      <c r="BB95" s="59"/>
      <c r="BC95" s="59"/>
      <c r="BD95" s="59"/>
      <c r="BE95" s="59"/>
      <c r="BF95" s="59"/>
      <c r="BG95" s="59"/>
      <c r="BH95" s="59"/>
      <c r="BI95" s="59"/>
      <c r="BJ95" s="59"/>
      <c r="BK95" s="59"/>
      <c r="BL95" s="59"/>
      <c r="BM95" s="59"/>
      <c r="BN95" s="59"/>
      <c r="BO95" s="59"/>
      <c r="BP95" s="59"/>
      <c r="BQ95" s="59"/>
      <c r="BR95" s="59"/>
      <c r="BS95" s="59"/>
      <c r="BT95" s="59"/>
      <c r="BU95" s="59"/>
      <c r="BV95" s="59"/>
      <c r="BW95" s="59"/>
      <c r="BX95" s="59"/>
      <c r="BY95" s="59"/>
      <c r="BZ95" s="59"/>
      <c r="CA95" s="59"/>
      <c r="CB95" s="59"/>
      <c r="CC95" s="59"/>
      <c r="CD95" s="59"/>
    </row>
    <row r="96" spans="1:82" ht="12.75" customHeight="1" x14ac:dyDescent="0.5">
      <c r="J96" s="56"/>
      <c r="K96" s="56"/>
      <c r="L96" s="56"/>
      <c r="M96" s="56"/>
      <c r="N96" s="56"/>
      <c r="O96" s="56"/>
      <c r="P96" s="56"/>
      <c r="Q96" s="56"/>
      <c r="R96" s="56"/>
      <c r="S96" s="56"/>
      <c r="T96" s="56"/>
      <c r="U96" s="56"/>
      <c r="V96" s="56"/>
      <c r="W96" s="56"/>
      <c r="X96" s="56"/>
      <c r="Y96" s="56"/>
      <c r="Z96" s="56"/>
      <c r="AA96" s="153"/>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row>
    <row r="97" spans="1:82" ht="12.75" customHeight="1" x14ac:dyDescent="0.5">
      <c r="C97" s="98" t="s">
        <v>249</v>
      </c>
      <c r="J97" s="56"/>
      <c r="K97" s="56"/>
      <c r="L97" s="56"/>
      <c r="M97" s="56"/>
      <c r="N97" s="56"/>
      <c r="O97" s="56"/>
      <c r="P97" s="56"/>
      <c r="Q97" s="56"/>
      <c r="R97" s="56"/>
      <c r="S97" s="56"/>
      <c r="T97" s="56"/>
      <c r="U97" s="56"/>
      <c r="V97" s="56"/>
      <c r="W97" s="56"/>
      <c r="X97" s="56"/>
      <c r="Y97" s="56"/>
      <c r="Z97" s="56"/>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c r="BG97" s="56"/>
      <c r="BH97" s="56"/>
      <c r="BI97" s="56"/>
      <c r="BJ97" s="56"/>
      <c r="BK97" s="56"/>
      <c r="BL97" s="56"/>
      <c r="BM97" s="56"/>
      <c r="BN97" s="56"/>
      <c r="BO97" s="56"/>
      <c r="BP97" s="56"/>
      <c r="BQ97" s="56"/>
      <c r="BR97" s="56"/>
      <c r="BS97" s="56"/>
      <c r="BT97" s="56"/>
      <c r="BU97" s="56"/>
      <c r="BV97" s="56"/>
      <c r="BW97" s="56"/>
      <c r="BX97" s="56"/>
      <c r="BY97" s="56"/>
      <c r="BZ97" s="56"/>
      <c r="CA97" s="56"/>
      <c r="CB97" s="56"/>
      <c r="CC97" s="56"/>
      <c r="CD97" s="56"/>
    </row>
    <row r="98" spans="1:82" s="66" customFormat="1" ht="12.75" customHeight="1" x14ac:dyDescent="0.5">
      <c r="A98" s="99" t="s">
        <v>250</v>
      </c>
      <c r="B98" s="26" t="s">
        <v>251</v>
      </c>
      <c r="C98" s="99" t="s">
        <v>252</v>
      </c>
      <c r="J98" s="68"/>
      <c r="K98" s="68"/>
      <c r="L98" s="68"/>
      <c r="M98" s="68"/>
      <c r="N98" s="68"/>
      <c r="O98" s="68"/>
      <c r="P98" s="68"/>
      <c r="Q98" s="68"/>
      <c r="R98" s="68"/>
      <c r="S98" s="68"/>
      <c r="T98" s="68"/>
      <c r="U98" s="68"/>
      <c r="V98" s="68"/>
      <c r="W98" s="68"/>
      <c r="X98" s="68"/>
      <c r="Y98" s="68"/>
      <c r="Z98" s="68"/>
      <c r="AA98" s="68"/>
      <c r="AB98" s="68"/>
      <c r="AC98" s="68"/>
      <c r="AD98" s="68">
        <v>233</v>
      </c>
      <c r="AE98" s="68">
        <v>263</v>
      </c>
      <c r="AF98" s="68">
        <v>286</v>
      </c>
      <c r="AG98" s="68">
        <v>303</v>
      </c>
      <c r="AH98" s="68">
        <v>313</v>
      </c>
      <c r="AI98" s="68">
        <v>340</v>
      </c>
      <c r="AJ98" s="68">
        <v>354</v>
      </c>
      <c r="AK98" s="68">
        <v>369</v>
      </c>
      <c r="AL98" s="68">
        <v>419</v>
      </c>
      <c r="AM98" s="68">
        <v>617</v>
      </c>
      <c r="AN98" s="68">
        <v>636</v>
      </c>
      <c r="AO98" s="68">
        <v>654</v>
      </c>
      <c r="AP98" s="68">
        <v>686</v>
      </c>
      <c r="AQ98" s="68">
        <v>704</v>
      </c>
      <c r="AR98" s="68">
        <v>770</v>
      </c>
      <c r="AS98" s="68">
        <v>835</v>
      </c>
      <c r="AT98" s="68">
        <v>890</v>
      </c>
      <c r="AU98" s="68">
        <v>1087</v>
      </c>
      <c r="AV98" s="68">
        <v>1101</v>
      </c>
      <c r="AW98" s="68">
        <v>1108</v>
      </c>
      <c r="AX98" s="68"/>
      <c r="AY98" s="68"/>
      <c r="AZ98" s="68"/>
      <c r="BA98" s="68"/>
      <c r="BB98" s="68"/>
      <c r="BC98" s="68"/>
      <c r="BD98" s="68"/>
      <c r="BE98" s="68"/>
      <c r="BF98" s="68"/>
      <c r="BG98" s="68"/>
      <c r="BH98" s="68"/>
      <c r="BI98" s="68"/>
      <c r="BJ98" s="68"/>
      <c r="BK98" s="68"/>
      <c r="BL98" s="68"/>
      <c r="BM98" s="68"/>
      <c r="BN98" s="68"/>
      <c r="BO98" s="68"/>
      <c r="BP98" s="68"/>
      <c r="BQ98" s="68"/>
      <c r="BR98" s="68"/>
      <c r="BS98" s="68"/>
      <c r="BT98" s="68"/>
      <c r="BU98" s="68"/>
      <c r="BV98" s="68"/>
      <c r="BW98" s="68"/>
      <c r="BX98" s="68"/>
      <c r="BY98" s="68"/>
      <c r="BZ98" s="68"/>
      <c r="CA98" s="68"/>
      <c r="CB98" s="68"/>
      <c r="CC98" s="68"/>
      <c r="CD98" s="68"/>
    </row>
    <row r="99" spans="1:82" s="66" customFormat="1" ht="12.75" customHeight="1" x14ac:dyDescent="0.5">
      <c r="A99" s="99"/>
      <c r="B99" s="26" t="s">
        <v>251</v>
      </c>
      <c r="C99" s="99" t="s">
        <v>253</v>
      </c>
      <c r="D99" s="99"/>
      <c r="J99" s="68"/>
      <c r="K99" s="68"/>
      <c r="L99" s="68"/>
      <c r="M99" s="68"/>
      <c r="N99" s="68"/>
      <c r="O99" s="68"/>
      <c r="P99" s="68"/>
      <c r="Q99" s="68"/>
      <c r="R99" s="68"/>
      <c r="S99" s="68"/>
      <c r="T99" s="68"/>
      <c r="U99" s="68"/>
      <c r="V99" s="68"/>
      <c r="W99" s="68"/>
      <c r="X99" s="68"/>
      <c r="Y99" s="68"/>
      <c r="Z99" s="68"/>
      <c r="AA99" s="68"/>
      <c r="AB99" s="68"/>
      <c r="AC99" s="68"/>
      <c r="AD99" s="68">
        <v>311</v>
      </c>
      <c r="AE99" s="68">
        <v>336</v>
      </c>
      <c r="AF99" s="68">
        <v>360</v>
      </c>
      <c r="AG99" s="68">
        <v>381</v>
      </c>
      <c r="AH99" s="68">
        <v>392</v>
      </c>
      <c r="AI99" s="68">
        <v>412</v>
      </c>
      <c r="AJ99" s="68">
        <v>417</v>
      </c>
      <c r="AK99" s="68">
        <v>426</v>
      </c>
      <c r="AL99" s="68">
        <v>512</v>
      </c>
      <c r="AM99" s="68">
        <v>744</v>
      </c>
      <c r="AN99" s="68">
        <v>731</v>
      </c>
      <c r="AO99" s="68">
        <v>770</v>
      </c>
      <c r="AP99" s="68">
        <v>778</v>
      </c>
      <c r="AQ99" s="68">
        <v>779</v>
      </c>
      <c r="AR99" s="68">
        <v>800</v>
      </c>
      <c r="AS99" s="68">
        <v>817</v>
      </c>
      <c r="AT99" s="68">
        <v>887</v>
      </c>
      <c r="AU99" s="68">
        <v>1132</v>
      </c>
      <c r="AV99" s="68">
        <v>1179</v>
      </c>
      <c r="AW99" s="68">
        <v>1226</v>
      </c>
      <c r="AX99" s="68"/>
      <c r="AY99" s="68"/>
      <c r="AZ99" s="68"/>
      <c r="BA99" s="68"/>
      <c r="BB99" s="68"/>
      <c r="BC99" s="68"/>
      <c r="BD99" s="68"/>
      <c r="BE99" s="68"/>
      <c r="BF99" s="68"/>
      <c r="BG99" s="68"/>
      <c r="BH99" s="68"/>
      <c r="BI99" s="68"/>
      <c r="BJ99" s="68"/>
      <c r="BK99" s="68"/>
      <c r="BL99" s="68"/>
      <c r="BM99" s="68"/>
      <c r="BN99" s="68"/>
      <c r="BO99" s="68"/>
      <c r="BP99" s="68"/>
      <c r="BQ99" s="68"/>
      <c r="BR99" s="68"/>
      <c r="BS99" s="68"/>
      <c r="BT99" s="68"/>
      <c r="BU99" s="68"/>
      <c r="BV99" s="68"/>
      <c r="BW99" s="68"/>
      <c r="BX99" s="68"/>
      <c r="BY99" s="68"/>
      <c r="BZ99" s="68"/>
      <c r="CA99" s="68"/>
      <c r="CB99" s="68"/>
      <c r="CC99" s="68"/>
      <c r="CD99" s="68"/>
    </row>
    <row r="100" spans="1:82" s="66" customFormat="1" ht="12.75" customHeight="1" x14ac:dyDescent="0.55000000000000004">
      <c r="A100" s="99"/>
      <c r="B100" s="66" t="s">
        <v>254</v>
      </c>
      <c r="C100" s="99" t="s">
        <v>255</v>
      </c>
      <c r="D100" s="99"/>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v>715</v>
      </c>
      <c r="AO100" s="68">
        <v>731</v>
      </c>
      <c r="AP100" s="68">
        <v>768</v>
      </c>
      <c r="AQ100" s="68">
        <v>931</v>
      </c>
      <c r="AR100" s="68">
        <v>862</v>
      </c>
      <c r="AS100" s="68">
        <v>863</v>
      </c>
      <c r="AT100" s="68">
        <v>889</v>
      </c>
      <c r="AU100" s="68">
        <v>958</v>
      </c>
      <c r="AV100" s="68">
        <v>1003</v>
      </c>
      <c r="AW100" s="68">
        <v>1057</v>
      </c>
      <c r="AX100" s="68">
        <v>1056</v>
      </c>
      <c r="AY100" s="68">
        <v>1139</v>
      </c>
      <c r="AZ100" s="68">
        <v>1241</v>
      </c>
      <c r="BA100" s="68">
        <v>1319</v>
      </c>
      <c r="BB100" s="68">
        <v>1299</v>
      </c>
      <c r="BC100" s="68"/>
      <c r="BD100" s="68"/>
      <c r="BE100" s="68"/>
      <c r="BF100" s="68"/>
      <c r="BG100" s="68"/>
      <c r="BH100" s="68"/>
      <c r="BI100" s="68"/>
      <c r="BJ100" s="68"/>
      <c r="BK100" s="68"/>
      <c r="BL100" s="68"/>
      <c r="BM100" s="68"/>
      <c r="BN100" s="68"/>
      <c r="BO100" s="68"/>
      <c r="BP100" s="68"/>
      <c r="BQ100" s="68"/>
      <c r="BR100" s="68"/>
      <c r="BS100" s="68"/>
      <c r="BT100" s="68"/>
      <c r="BU100" s="68"/>
      <c r="BV100" s="68"/>
      <c r="BW100" s="68"/>
      <c r="BX100" s="68"/>
      <c r="BY100" s="68"/>
      <c r="BZ100" s="68"/>
      <c r="CA100" s="68"/>
      <c r="CB100" s="68"/>
      <c r="CC100" s="68"/>
      <c r="CD100" s="68"/>
    </row>
    <row r="101" spans="1:82" s="66" customFormat="1" ht="12.75" customHeight="1" x14ac:dyDescent="0.5">
      <c r="A101" s="99"/>
      <c r="B101" s="26"/>
      <c r="C101" s="99" t="s">
        <v>256</v>
      </c>
      <c r="D101" s="99"/>
      <c r="J101" s="68"/>
      <c r="K101" s="68"/>
      <c r="L101" s="68"/>
      <c r="M101" s="68"/>
      <c r="N101" s="68"/>
      <c r="O101" s="68"/>
      <c r="P101" s="68"/>
      <c r="Q101" s="68"/>
      <c r="R101" s="68">
        <f t="shared" ref="R101:Y101" si="27">R79*1000/R20/12</f>
        <v>66.006600660066013</v>
      </c>
      <c r="S101" s="68">
        <f t="shared" si="27"/>
        <v>70.62626262626263</v>
      </c>
      <c r="T101" s="68">
        <f t="shared" si="27"/>
        <v>82.122448979591837</v>
      </c>
      <c r="U101" s="68">
        <f t="shared" si="27"/>
        <v>88.891089108910876</v>
      </c>
      <c r="V101" s="68">
        <f t="shared" si="27"/>
        <v>97.752688172042994</v>
      </c>
      <c r="W101" s="68">
        <f t="shared" si="27"/>
        <v>104.62105263157895</v>
      </c>
      <c r="X101" s="68">
        <f t="shared" si="27"/>
        <v>121.63043478260869</v>
      </c>
      <c r="Y101" s="68">
        <f t="shared" si="27"/>
        <v>123.16666666666667</v>
      </c>
      <c r="Z101" s="68"/>
      <c r="AA101" s="68">
        <v>166</v>
      </c>
      <c r="AB101" s="68">
        <v>216</v>
      </c>
      <c r="AC101" s="68">
        <v>222</v>
      </c>
      <c r="AD101" s="68">
        <v>273</v>
      </c>
      <c r="AE101" s="68">
        <v>298</v>
      </c>
      <c r="AF101" s="68">
        <v>299</v>
      </c>
      <c r="AG101" s="68">
        <v>309</v>
      </c>
      <c r="AH101" s="68">
        <v>314</v>
      </c>
      <c r="AI101" s="68">
        <v>352</v>
      </c>
      <c r="AJ101" s="68">
        <v>362</v>
      </c>
      <c r="AK101" s="68">
        <v>370</v>
      </c>
      <c r="AL101" s="68">
        <v>458</v>
      </c>
      <c r="AM101" s="68">
        <v>665</v>
      </c>
      <c r="AN101" s="68">
        <v>653</v>
      </c>
      <c r="AO101" s="68">
        <v>693</v>
      </c>
      <c r="AP101" s="68">
        <v>724</v>
      </c>
      <c r="AQ101" s="68">
        <v>711</v>
      </c>
      <c r="AR101" s="68">
        <v>779</v>
      </c>
      <c r="AS101" s="68">
        <v>819</v>
      </c>
      <c r="AT101" s="68"/>
      <c r="AU101" s="68"/>
      <c r="AV101" s="68"/>
      <c r="AW101" s="68"/>
      <c r="AX101" s="68"/>
      <c r="AY101" s="68"/>
      <c r="AZ101" s="68"/>
      <c r="BA101" s="68"/>
      <c r="BB101" s="68"/>
      <c r="BC101" s="68"/>
      <c r="BD101" s="68"/>
      <c r="BE101" s="68"/>
      <c r="BF101" s="68"/>
      <c r="BG101" s="68"/>
      <c r="BH101" s="68"/>
      <c r="BI101" s="68"/>
      <c r="BJ101" s="68"/>
      <c r="BK101" s="68"/>
      <c r="BL101" s="68"/>
      <c r="BM101" s="68"/>
      <c r="BN101" s="68"/>
      <c r="BO101" s="68"/>
      <c r="BP101" s="68"/>
      <c r="BQ101" s="68"/>
      <c r="BR101" s="68"/>
      <c r="BS101" s="68"/>
      <c r="BT101" s="68"/>
      <c r="BU101" s="68"/>
      <c r="BV101" s="68"/>
      <c r="BW101" s="68"/>
      <c r="BX101" s="68"/>
      <c r="BY101" s="68"/>
      <c r="BZ101" s="68"/>
      <c r="CA101" s="68"/>
      <c r="CB101" s="68"/>
      <c r="CC101" s="68"/>
      <c r="CD101" s="68"/>
    </row>
    <row r="102" spans="1:82" ht="12.75" customHeight="1" x14ac:dyDescent="0.5">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row>
    <row r="103" spans="1:82" ht="12.75" customHeight="1" x14ac:dyDescent="0.5">
      <c r="A103" s="26" t="s">
        <v>236</v>
      </c>
      <c r="C103" s="98" t="s">
        <v>257</v>
      </c>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201"/>
      <c r="BO103" s="56"/>
      <c r="BP103" s="56"/>
      <c r="BQ103" s="56"/>
      <c r="BR103" s="56"/>
      <c r="BS103" s="56"/>
      <c r="BT103" s="56"/>
      <c r="BU103" s="56"/>
      <c r="BV103" s="56"/>
      <c r="BW103" s="56"/>
      <c r="BX103" s="56"/>
      <c r="BY103" s="201"/>
      <c r="BZ103" s="56"/>
      <c r="CA103" s="56"/>
      <c r="CB103" s="56"/>
      <c r="CC103" s="56"/>
      <c r="CD103" s="56"/>
    </row>
    <row r="104" spans="1:82" s="139" customFormat="1" ht="12.75" customHeight="1" x14ac:dyDescent="0.55000000000000004">
      <c r="A104" s="168"/>
      <c r="C104" s="169" t="s">
        <v>258</v>
      </c>
      <c r="J104" s="173"/>
      <c r="K104" s="173"/>
      <c r="L104" s="173"/>
      <c r="M104" s="173"/>
      <c r="N104" s="173"/>
      <c r="O104" s="173"/>
      <c r="P104" s="173"/>
      <c r="Q104" s="173"/>
      <c r="R104" s="173"/>
      <c r="S104" s="173"/>
      <c r="T104" s="173"/>
      <c r="U104" s="173"/>
      <c r="V104" s="173"/>
      <c r="W104" s="173"/>
      <c r="X104" s="173"/>
      <c r="Y104" s="173"/>
      <c r="Z104" s="133"/>
      <c r="AA104" s="133"/>
      <c r="AB104" s="133"/>
      <c r="AC104" s="133">
        <v>239.2</v>
      </c>
      <c r="AD104" s="133">
        <v>284.3</v>
      </c>
      <c r="AE104" s="133">
        <v>294.3</v>
      </c>
      <c r="AF104" s="133">
        <v>308.89999999999998</v>
      </c>
      <c r="AG104" s="133">
        <v>344.7</v>
      </c>
      <c r="AH104" s="133">
        <v>343</v>
      </c>
      <c r="AI104" s="173">
        <v>396</v>
      </c>
      <c r="AJ104" s="173">
        <v>515</v>
      </c>
      <c r="AK104" s="173">
        <v>588</v>
      </c>
      <c r="AL104" s="173">
        <v>765</v>
      </c>
      <c r="AM104" s="133">
        <v>1100</v>
      </c>
      <c r="AN104" s="173">
        <v>1640</v>
      </c>
      <c r="AO104" s="173">
        <v>1730</v>
      </c>
      <c r="AP104" s="173">
        <v>1955</v>
      </c>
      <c r="AQ104" s="173">
        <v>2133</v>
      </c>
      <c r="AR104" s="173">
        <v>2435</v>
      </c>
      <c r="AS104" s="173">
        <v>2533</v>
      </c>
      <c r="AT104" s="173">
        <v>2819</v>
      </c>
      <c r="AU104" s="173">
        <v>3765</v>
      </c>
      <c r="AV104" s="173">
        <v>4227</v>
      </c>
      <c r="AW104" s="173">
        <v>4661</v>
      </c>
      <c r="AX104" s="173">
        <v>6640</v>
      </c>
      <c r="AY104" s="173">
        <v>8015</v>
      </c>
      <c r="AZ104" s="173">
        <v>9004</v>
      </c>
      <c r="BA104" s="173">
        <v>11920</v>
      </c>
      <c r="BB104" s="173">
        <v>20128</v>
      </c>
      <c r="BC104" s="173">
        <v>26834</v>
      </c>
      <c r="BD104" s="173">
        <v>30439</v>
      </c>
      <c r="BE104" s="173">
        <v>37500</v>
      </c>
      <c r="BF104" s="173">
        <v>57400</v>
      </c>
      <c r="BG104" s="173">
        <v>77900</v>
      </c>
      <c r="BH104" s="173">
        <v>111500</v>
      </c>
      <c r="BI104" s="173">
        <v>156100</v>
      </c>
      <c r="BJ104" s="173">
        <v>199200</v>
      </c>
      <c r="BK104" s="173">
        <v>218840</v>
      </c>
      <c r="BL104" s="173">
        <v>220480</v>
      </c>
      <c r="BM104" s="173">
        <v>285300</v>
      </c>
      <c r="BN104" s="173">
        <v>308100</v>
      </c>
      <c r="BO104" s="173">
        <v>342000</v>
      </c>
      <c r="BP104" s="173">
        <v>397800</v>
      </c>
      <c r="BQ104" s="173">
        <v>464100</v>
      </c>
      <c r="BR104" s="173">
        <v>551000</v>
      </c>
      <c r="BS104" s="173">
        <v>657000</v>
      </c>
      <c r="BT104" s="173">
        <v>1004000</v>
      </c>
      <c r="BU104" s="173">
        <v>1135000</v>
      </c>
      <c r="BV104" s="173">
        <v>1609000</v>
      </c>
      <c r="BW104" s="173">
        <v>1723000</v>
      </c>
      <c r="BX104" s="173">
        <v>2346000</v>
      </c>
      <c r="BY104" s="173">
        <v>2722000</v>
      </c>
      <c r="BZ104" s="173">
        <v>3350000</v>
      </c>
      <c r="CA104" s="173">
        <v>3969000</v>
      </c>
      <c r="CB104" s="173"/>
      <c r="CC104" s="173"/>
      <c r="CD104" s="173"/>
    </row>
    <row r="105" spans="1:82" s="30" customFormat="1" ht="12.75" customHeight="1" x14ac:dyDescent="0.55000000000000004">
      <c r="A105" s="87"/>
      <c r="B105" s="88"/>
      <c r="C105" s="87"/>
      <c r="J105" s="59"/>
      <c r="K105" s="59"/>
      <c r="L105" s="59"/>
      <c r="M105" s="59"/>
      <c r="N105" s="59"/>
      <c r="O105" s="59"/>
      <c r="P105" s="59"/>
      <c r="Q105" s="59"/>
      <c r="R105" s="59"/>
      <c r="S105" s="59"/>
      <c r="T105" s="59"/>
      <c r="U105" s="59"/>
      <c r="V105" s="59"/>
      <c r="W105" s="59"/>
      <c r="X105" s="59"/>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8"/>
      <c r="BG105" s="68"/>
      <c r="BH105" s="68"/>
      <c r="BI105" s="68"/>
      <c r="BJ105" s="68"/>
      <c r="BK105" s="68"/>
      <c r="BL105" s="68"/>
      <c r="BM105" s="68"/>
      <c r="BN105" s="68"/>
      <c r="BO105" s="68"/>
      <c r="BP105" s="68"/>
      <c r="BQ105" s="68"/>
      <c r="BR105" s="68"/>
      <c r="BS105" s="68"/>
      <c r="BT105" s="68"/>
      <c r="BU105" s="68"/>
      <c r="BV105" s="68"/>
      <c r="BW105" s="68"/>
      <c r="BX105" s="68"/>
      <c r="BY105" s="68"/>
      <c r="BZ105" s="68"/>
      <c r="CA105" s="68"/>
      <c r="CB105" s="59"/>
      <c r="CC105" s="59"/>
      <c r="CD105" s="59"/>
    </row>
    <row r="106" spans="1:82" s="30" customFormat="1" ht="12.75" customHeight="1" x14ac:dyDescent="0.5">
      <c r="A106" s="26" t="s">
        <v>236</v>
      </c>
      <c r="B106" s="30" t="s">
        <v>259</v>
      </c>
      <c r="C106" s="87" t="s">
        <v>260</v>
      </c>
      <c r="J106" s="59"/>
      <c r="K106" s="59"/>
      <c r="L106" s="59"/>
      <c r="M106" s="59"/>
      <c r="N106" s="59"/>
      <c r="O106" s="59"/>
      <c r="P106" s="59"/>
      <c r="Q106" s="59"/>
      <c r="R106" s="59"/>
      <c r="S106" s="59"/>
      <c r="T106" s="59"/>
      <c r="U106" s="59"/>
      <c r="V106" s="59"/>
      <c r="W106" s="59"/>
      <c r="X106" s="59"/>
      <c r="Y106" s="68"/>
      <c r="Z106" s="68"/>
      <c r="AA106" s="68"/>
      <c r="AB106" s="68"/>
      <c r="AC106" s="59"/>
      <c r="AD106" s="59"/>
      <c r="AE106" s="59"/>
      <c r="AF106" s="59"/>
      <c r="AG106" s="59"/>
      <c r="AH106" s="59"/>
      <c r="AI106" s="59"/>
      <c r="AJ106" s="59"/>
      <c r="AK106" s="59"/>
      <c r="AL106" s="59"/>
      <c r="AM106" s="59"/>
      <c r="AN106" s="59"/>
      <c r="AO106" s="59">
        <v>1698</v>
      </c>
      <c r="AP106" s="59">
        <v>1903</v>
      </c>
      <c r="AQ106" s="59">
        <v>2090</v>
      </c>
      <c r="AR106" s="59">
        <v>2415</v>
      </c>
      <c r="AS106" s="59">
        <v>2299</v>
      </c>
      <c r="AT106" s="59">
        <v>2912</v>
      </c>
      <c r="AU106" s="59">
        <v>3628</v>
      </c>
      <c r="AV106" s="59">
        <v>3157</v>
      </c>
      <c r="AW106" s="59">
        <v>3339</v>
      </c>
      <c r="AX106" s="59">
        <v>3795</v>
      </c>
      <c r="AY106" s="59">
        <v>4305</v>
      </c>
      <c r="AZ106" s="59">
        <v>4637</v>
      </c>
      <c r="BA106" s="59"/>
      <c r="BB106" s="59"/>
      <c r="BC106" s="59"/>
      <c r="BD106" s="59"/>
      <c r="BE106" s="59"/>
      <c r="BF106" s="59"/>
      <c r="BG106" s="59"/>
      <c r="BH106" s="59"/>
      <c r="BI106" s="59"/>
      <c r="BJ106" s="59"/>
      <c r="BK106" s="59"/>
      <c r="BL106" s="59">
        <f>220083089884/10^6</f>
        <v>220083.08988399999</v>
      </c>
      <c r="BM106" s="59">
        <f>287287200000/10^6</f>
        <v>287287.2</v>
      </c>
      <c r="BN106" s="59"/>
      <c r="BO106" s="59"/>
      <c r="BP106" s="59"/>
      <c r="BQ106" s="59"/>
      <c r="BR106" s="59"/>
      <c r="BS106" s="59"/>
      <c r="BT106" s="59"/>
      <c r="BU106" s="59"/>
      <c r="BV106" s="59"/>
      <c r="BW106" s="59"/>
      <c r="BX106" s="59"/>
      <c r="BY106" s="59"/>
      <c r="BZ106" s="59"/>
      <c r="CA106" s="59"/>
      <c r="CB106" s="59"/>
      <c r="CC106" s="59"/>
      <c r="CD106" s="59"/>
    </row>
    <row r="107" spans="1:82" s="30" customFormat="1" ht="12.75" customHeight="1" x14ac:dyDescent="0.55000000000000004">
      <c r="A107" s="87"/>
      <c r="B107" s="30" t="s">
        <v>259</v>
      </c>
      <c r="C107" s="87" t="s">
        <v>261</v>
      </c>
      <c r="J107" s="59"/>
      <c r="K107" s="59"/>
      <c r="L107" s="59"/>
      <c r="M107" s="59"/>
      <c r="N107" s="59"/>
      <c r="O107" s="59"/>
      <c r="P107" s="59"/>
      <c r="Q107" s="59"/>
      <c r="R107" s="59"/>
      <c r="S107" s="59"/>
      <c r="T107" s="59"/>
      <c r="U107" s="59"/>
      <c r="V107" s="59"/>
      <c r="W107" s="59"/>
      <c r="X107" s="59"/>
      <c r="Y107" s="68"/>
      <c r="Z107" s="68"/>
      <c r="AA107" s="68"/>
      <c r="AB107" s="68"/>
      <c r="AC107" s="59"/>
      <c r="AD107" s="59"/>
      <c r="AE107" s="59"/>
      <c r="AF107" s="59"/>
      <c r="AG107" s="59"/>
      <c r="AH107" s="59"/>
      <c r="AI107" s="59"/>
      <c r="AJ107" s="59"/>
      <c r="AK107" s="59"/>
      <c r="AL107" s="59"/>
      <c r="AM107" s="59"/>
      <c r="AN107" s="59">
        <v>772</v>
      </c>
      <c r="AO107" s="59">
        <v>843</v>
      </c>
      <c r="AP107" s="59">
        <v>940</v>
      </c>
      <c r="AQ107" s="59">
        <v>1082</v>
      </c>
      <c r="AR107" s="59">
        <v>1361</v>
      </c>
      <c r="AS107" s="59">
        <v>1135</v>
      </c>
      <c r="AT107" s="59">
        <v>1554</v>
      </c>
      <c r="AU107" s="59">
        <v>2018</v>
      </c>
      <c r="AV107" s="59">
        <v>2220</v>
      </c>
      <c r="AW107" s="59">
        <v>2584</v>
      </c>
      <c r="AX107" s="59">
        <v>3154</v>
      </c>
      <c r="AY107" s="59">
        <v>3561</v>
      </c>
      <c r="AZ107" s="59">
        <v>3966</v>
      </c>
      <c r="BA107" s="59">
        <v>5735</v>
      </c>
      <c r="BB107" s="59">
        <v>7197</v>
      </c>
      <c r="BC107" s="59"/>
      <c r="BD107" s="59"/>
      <c r="BE107" s="59"/>
      <c r="BF107" s="59"/>
      <c r="BG107" s="59"/>
      <c r="BH107" s="59"/>
      <c r="BI107" s="59"/>
      <c r="BJ107" s="59"/>
      <c r="BK107" s="59"/>
      <c r="BL107" s="59"/>
      <c r="BM107" s="59"/>
      <c r="BN107" s="59"/>
      <c r="BO107" s="59"/>
      <c r="BP107" s="59"/>
      <c r="BQ107" s="59"/>
      <c r="BR107" s="59"/>
      <c r="BS107" s="59"/>
      <c r="BT107" s="59"/>
      <c r="BU107" s="59"/>
      <c r="BV107" s="59"/>
      <c r="BW107" s="59"/>
      <c r="BX107" s="59"/>
      <c r="BY107" s="59"/>
      <c r="BZ107" s="59"/>
      <c r="CA107" s="59"/>
      <c r="CB107" s="59"/>
      <c r="CC107" s="59"/>
      <c r="CD107" s="59"/>
    </row>
    <row r="108" spans="1:82" s="30" customFormat="1" ht="12.75" customHeight="1" x14ac:dyDescent="0.55000000000000004">
      <c r="A108" s="87"/>
      <c r="B108" s="30" t="s">
        <v>259</v>
      </c>
      <c r="C108" s="87" t="s">
        <v>262</v>
      </c>
      <c r="J108" s="59"/>
      <c r="K108" s="59"/>
      <c r="L108" s="59"/>
      <c r="M108" s="59"/>
      <c r="N108" s="59"/>
      <c r="O108" s="59"/>
      <c r="P108" s="59"/>
      <c r="Q108" s="59"/>
      <c r="R108" s="59"/>
      <c r="S108" s="59"/>
      <c r="T108" s="59"/>
      <c r="U108" s="59"/>
      <c r="V108" s="59"/>
      <c r="W108" s="59"/>
      <c r="X108" s="59"/>
      <c r="Y108" s="68"/>
      <c r="Z108" s="68"/>
      <c r="AA108" s="68"/>
      <c r="AB108" s="68"/>
      <c r="AC108" s="59"/>
      <c r="AD108" s="59"/>
      <c r="AE108" s="59"/>
      <c r="AF108" s="59"/>
      <c r="AG108" s="59"/>
      <c r="AH108" s="59"/>
      <c r="AI108" s="59"/>
      <c r="AJ108" s="59"/>
      <c r="AK108" s="59"/>
      <c r="AL108" s="59"/>
      <c r="AM108" s="59"/>
      <c r="AN108" s="59"/>
      <c r="AO108" s="59">
        <v>855</v>
      </c>
      <c r="AP108" s="59">
        <v>963</v>
      </c>
      <c r="AQ108" s="59">
        <v>1008</v>
      </c>
      <c r="AR108" s="59">
        <v>1054</v>
      </c>
      <c r="AS108" s="59">
        <v>1164</v>
      </c>
      <c r="AT108" s="59">
        <v>1358</v>
      </c>
      <c r="AU108" s="59">
        <v>1610</v>
      </c>
      <c r="AV108" s="59">
        <v>975</v>
      </c>
      <c r="AW108" s="59">
        <v>755</v>
      </c>
      <c r="AX108" s="59">
        <v>641</v>
      </c>
      <c r="AY108" s="59">
        <v>744</v>
      </c>
      <c r="AZ108" s="59">
        <v>682</v>
      </c>
      <c r="BA108" s="59"/>
      <c r="BB108" s="59"/>
      <c r="BC108" s="59"/>
      <c r="BD108" s="59"/>
      <c r="BE108" s="59"/>
      <c r="BF108" s="59"/>
      <c r="BG108" s="59"/>
      <c r="BH108" s="59"/>
      <c r="BI108" s="59"/>
      <c r="BJ108" s="59"/>
      <c r="BK108" s="59"/>
      <c r="BL108" s="59"/>
      <c r="BM108" s="59"/>
      <c r="BN108" s="59"/>
      <c r="BO108" s="59"/>
      <c r="BP108" s="59"/>
      <c r="BQ108" s="59"/>
      <c r="BR108" s="59"/>
      <c r="BS108" s="59"/>
      <c r="BT108" s="59"/>
      <c r="BU108" s="59"/>
      <c r="BV108" s="59"/>
      <c r="BW108" s="59"/>
      <c r="BX108" s="59"/>
      <c r="BY108" s="59"/>
      <c r="BZ108" s="59"/>
      <c r="CA108" s="59"/>
      <c r="CB108" s="59"/>
      <c r="CC108" s="59"/>
      <c r="CD108" s="59"/>
    </row>
    <row r="109" spans="1:82" ht="12.75" customHeight="1" x14ac:dyDescent="0.5">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row>
    <row r="110" spans="1:82" s="7" customFormat="1" ht="12.75" customHeight="1" x14ac:dyDescent="0.5">
      <c r="C110" s="42" t="s">
        <v>97</v>
      </c>
      <c r="D110" s="42"/>
      <c r="E110" s="43"/>
      <c r="G110" s="43"/>
      <c r="I110" s="43"/>
      <c r="K110" s="43"/>
      <c r="AH110" s="44"/>
      <c r="AI110" s="44"/>
      <c r="AJ110" s="44"/>
      <c r="AK110" s="44"/>
      <c r="AL110" s="44"/>
      <c r="AM110" s="44"/>
      <c r="AN110" s="44"/>
      <c r="AO110" s="44"/>
      <c r="AP110" s="44"/>
      <c r="AQ110" s="44"/>
      <c r="AR110" s="44"/>
      <c r="AS110" s="44"/>
      <c r="AT110" s="44"/>
      <c r="AU110" s="44"/>
      <c r="AV110" s="44"/>
      <c r="AW110" s="44"/>
      <c r="AX110" s="44"/>
    </row>
    <row r="111" spans="1:82" s="30" customFormat="1" ht="12.75" customHeight="1" x14ac:dyDescent="0.5">
      <c r="B111" s="4" t="s">
        <v>99</v>
      </c>
      <c r="C111" s="22" t="s">
        <v>101</v>
      </c>
      <c r="L111" s="110">
        <v>5.8511485485383166E-2</v>
      </c>
      <c r="M111" s="110">
        <v>6.2036273767635146E-2</v>
      </c>
      <c r="N111" s="110">
        <v>6.5899441724983354E-2</v>
      </c>
      <c r="O111" s="110">
        <v>7.049576564503994E-2</v>
      </c>
      <c r="P111" s="110">
        <v>8.0365172835345555E-2</v>
      </c>
      <c r="Q111" s="110">
        <v>8.6709791743399142E-2</v>
      </c>
      <c r="R111" s="110">
        <v>8.8119707056299942E-2</v>
      </c>
      <c r="S111" s="110">
        <v>9.0234580025651143E-2</v>
      </c>
      <c r="T111" s="110">
        <v>9.3054410651452757E-2</v>
      </c>
      <c r="U111" s="110">
        <v>9.5169283620803929E-2</v>
      </c>
      <c r="V111" s="110">
        <v>9.8694071903055944E-2</v>
      </c>
      <c r="W111" s="111">
        <v>9.6762487924381857E-2</v>
      </c>
      <c r="X111" s="111">
        <v>9.7403999391751706E-2</v>
      </c>
      <c r="Y111" s="110">
        <v>9.4830903945707756E-2</v>
      </c>
      <c r="Z111" s="110">
        <v>9.8045510859121582E-2</v>
      </c>
      <c r="AA111" s="110">
        <v>9.8045510859121582E-2</v>
      </c>
      <c r="AB111" s="110">
        <v>9.6438207402414655E-2</v>
      </c>
      <c r="AC111" s="110">
        <v>9.8045510859121582E-2</v>
      </c>
      <c r="AD111" s="110">
        <v>0.10045646604418194</v>
      </c>
      <c r="AE111" s="110">
        <v>0.10768933159936303</v>
      </c>
      <c r="AF111" s="110">
        <v>0.12081396888635254</v>
      </c>
      <c r="AG111" s="110">
        <v>0.13965960191792393</v>
      </c>
      <c r="AH111" s="110">
        <v>0.16258565102710282</v>
      </c>
      <c r="AI111" s="110">
        <v>0.16826458062316302</v>
      </c>
      <c r="AJ111" s="110">
        <v>0.1762992143479592</v>
      </c>
      <c r="AK111" s="110">
        <v>0.18976038079745902</v>
      </c>
      <c r="AL111" s="110">
        <v>0.20948940287562356</v>
      </c>
      <c r="AM111" s="110">
        <v>0.2505459605474602</v>
      </c>
      <c r="AN111" s="110">
        <v>0.31583261782999456</v>
      </c>
      <c r="AO111" s="110">
        <v>0.33749668258491466</v>
      </c>
      <c r="AP111" s="110">
        <v>0.37666026372515177</v>
      </c>
      <c r="AQ111" s="110">
        <v>0.40142567606508034</v>
      </c>
      <c r="AR111" s="110">
        <v>0.45340479245915138</v>
      </c>
      <c r="AS111" s="110">
        <v>0.59032079832324391</v>
      </c>
      <c r="AT111" s="110">
        <v>0.74173822434075631</v>
      </c>
      <c r="AU111" s="110">
        <v>0.95634040959816025</v>
      </c>
      <c r="AV111" s="110">
        <v>1.2150871777641525</v>
      </c>
      <c r="AW111" s="110">
        <v>1.6542918782808631</v>
      </c>
      <c r="AX111" s="110">
        <v>2.2048750187811073</v>
      </c>
      <c r="AY111" s="110">
        <v>2.9199645294633081</v>
      </c>
      <c r="AZ111" s="110">
        <v>3.7944754967671743</v>
      </c>
      <c r="BA111" s="110">
        <v>4.9778478803256716</v>
      </c>
      <c r="BB111" s="110">
        <v>6.264613506276719</v>
      </c>
      <c r="BC111" s="110">
        <v>8.5090222821475461</v>
      </c>
      <c r="BD111" s="110">
        <v>10.950741719633301</v>
      </c>
      <c r="BE111" s="110">
        <v>13.343133491715353</v>
      </c>
      <c r="BF111" s="110">
        <v>16.715912613697018</v>
      </c>
      <c r="BG111" s="110">
        <v>22.413257967830599</v>
      </c>
      <c r="BH111" s="110">
        <v>28.560718268773371</v>
      </c>
      <c r="BI111" s="110">
        <v>34.551974295937733</v>
      </c>
      <c r="BJ111" s="110">
        <v>40.111613250819012</v>
      </c>
      <c r="BK111" s="110">
        <v>45.245801091593115</v>
      </c>
      <c r="BL111" s="110">
        <v>48.815890875189801</v>
      </c>
      <c r="BM111" s="110">
        <v>51.707725259484803</v>
      </c>
      <c r="BN111" s="110">
        <v>54.369363871895757</v>
      </c>
      <c r="BO111" s="110">
        <v>57.260636205246051</v>
      </c>
      <c r="BP111" s="110">
        <v>60.297491961577464</v>
      </c>
      <c r="BQ111" s="110">
        <v>63.153061453870585</v>
      </c>
      <c r="BR111" s="110">
        <v>66.332546598433723</v>
      </c>
      <c r="BS111" s="110">
        <v>71.142301390982141</v>
      </c>
      <c r="BT111" s="110">
        <v>76.140413998175319</v>
      </c>
      <c r="BU111" s="110">
        <v>83.966425561010837</v>
      </c>
      <c r="BV111" s="110">
        <v>94.161820290532546</v>
      </c>
      <c r="BW111" s="110">
        <v>100</v>
      </c>
      <c r="BX111" s="30">
        <v>113</v>
      </c>
      <c r="BY111" s="30">
        <v>131</v>
      </c>
      <c r="BZ111" s="30">
        <v>141</v>
      </c>
      <c r="CA111" s="30">
        <v>150</v>
      </c>
      <c r="CB111" s="30">
        <v>158</v>
      </c>
    </row>
    <row r="112" spans="1:82" s="30" customFormat="1" ht="12.75" customHeight="1" x14ac:dyDescent="0.55000000000000004">
      <c r="B112" s="30" t="s">
        <v>103</v>
      </c>
      <c r="C112" s="30" t="s">
        <v>104</v>
      </c>
      <c r="Y112" s="85">
        <v>7.1428600061428602</v>
      </c>
      <c r="Z112" s="85">
        <v>7.1428600061428602</v>
      </c>
      <c r="AA112" s="85">
        <v>7.1428600061428602</v>
      </c>
      <c r="AB112" s="85">
        <v>7.1428600061428602</v>
      </c>
      <c r="AC112" s="85">
        <v>7.1428600061428602</v>
      </c>
      <c r="AD112" s="85">
        <v>7.1428600061428602</v>
      </c>
      <c r="AE112" s="85">
        <v>7.1428600061428602</v>
      </c>
      <c r="AF112" s="85">
        <v>7.1428600061428602</v>
      </c>
      <c r="AG112" s="85">
        <v>7.1428600061428602</v>
      </c>
      <c r="AH112" s="85">
        <v>7.1428600061428602</v>
      </c>
      <c r="AI112" s="85">
        <v>7.1428600061428602</v>
      </c>
      <c r="AJ112" s="85">
        <v>7.1428599989999997</v>
      </c>
      <c r="AK112" s="85">
        <v>7.1428999989999999</v>
      </c>
      <c r="AL112" s="85">
        <v>7.0203836880377004</v>
      </c>
      <c r="AM112" s="85">
        <v>7.13484110073603</v>
      </c>
      <c r="AN112" s="85">
        <v>7.3667916656666703</v>
      </c>
      <c r="AO112" s="85">
        <v>8.3767749994166696</v>
      </c>
      <c r="AP112" s="85">
        <v>8.2892083324999994</v>
      </c>
      <c r="AQ112" s="85">
        <v>7.7120499990000004</v>
      </c>
      <c r="AR112" s="85">
        <v>8.2166249990000004</v>
      </c>
      <c r="AS112" s="85">
        <v>8.1965916658333295</v>
      </c>
      <c r="AT112" s="85">
        <v>8.2835083325833292</v>
      </c>
      <c r="AU112" s="85">
        <v>9.2825916658333298</v>
      </c>
      <c r="AV112" s="85">
        <v>11.1427833323333</v>
      </c>
      <c r="AW112" s="85">
        <v>15.292249999499999</v>
      </c>
      <c r="AX112" s="85">
        <v>17.472333333083299</v>
      </c>
      <c r="AY112" s="85">
        <v>32.698016666416699</v>
      </c>
      <c r="AZ112" s="85">
        <v>64.260350000000003</v>
      </c>
      <c r="BA112" s="85">
        <v>99.292108333333303</v>
      </c>
      <c r="BB112" s="85">
        <v>143.376916666667</v>
      </c>
      <c r="BC112" s="85">
        <v>195.055916666667</v>
      </c>
      <c r="BD112" s="85">
        <v>219.15741666666699</v>
      </c>
      <c r="BE112" s="85">
        <v>297.70808333333298</v>
      </c>
      <c r="BF112" s="85">
        <v>405.27401666666702</v>
      </c>
      <c r="BG112" s="85">
        <v>509.630875</v>
      </c>
      <c r="BH112" s="85">
        <v>574.76174166666704</v>
      </c>
      <c r="BI112" s="85">
        <v>579.97666666666703</v>
      </c>
      <c r="BJ112" s="85">
        <v>612.12249999999995</v>
      </c>
      <c r="BK112" s="85">
        <v>664.67120833333297</v>
      </c>
      <c r="BL112" s="85">
        <v>744.75907500000005</v>
      </c>
      <c r="BM112" s="85">
        <v>800.40851666666697</v>
      </c>
      <c r="BN112" s="85">
        <v>876.41166666666697</v>
      </c>
      <c r="BO112" s="85">
        <v>966.58278425925903</v>
      </c>
      <c r="BP112" s="85">
        <v>1038.4190065960399</v>
      </c>
      <c r="BQ112" s="85">
        <v>1089.33477148982</v>
      </c>
      <c r="BR112" s="85">
        <v>1128.9341791619199</v>
      </c>
      <c r="BS112" s="85">
        <v>1251.89997292515</v>
      </c>
      <c r="BT112" s="85">
        <v>1245.0354640478299</v>
      </c>
      <c r="BU112" s="85">
        <v>1196.3107092104599</v>
      </c>
      <c r="BV112" s="85">
        <v>1320.3120607404101</v>
      </c>
      <c r="BW112" s="85">
        <v>1409.2722105612399</v>
      </c>
      <c r="BX112" s="85">
        <v>1572.1162253145999</v>
      </c>
      <c r="BY112" s="85">
        <v>1583.00278737484</v>
      </c>
      <c r="BZ112" s="85">
        <v>1600.44431740292</v>
      </c>
      <c r="CA112" s="85">
        <v>1654.00451119232</v>
      </c>
      <c r="CB112" s="85">
        <v>1991.39096448287</v>
      </c>
    </row>
    <row r="113" spans="1:80" s="4" customFormat="1" ht="12.75" customHeight="1" x14ac:dyDescent="0.5">
      <c r="B113" s="4" t="s">
        <v>103</v>
      </c>
      <c r="C113" s="4" t="s">
        <v>110</v>
      </c>
      <c r="Y113" s="24">
        <v>13.572165966081</v>
      </c>
      <c r="Z113" s="24">
        <v>13.718091436812999</v>
      </c>
      <c r="AA113" s="24">
        <v>13.8711951358863</v>
      </c>
      <c r="AB113" s="24">
        <v>14.03960920502</v>
      </c>
      <c r="AC113" s="24">
        <v>14.2233336439079</v>
      </c>
      <c r="AD113" s="24">
        <v>14.4606443773949</v>
      </c>
      <c r="AE113" s="24">
        <v>14.8931623272897</v>
      </c>
      <c r="AF113" s="24">
        <v>15.3065423148003</v>
      </c>
      <c r="AG113" s="24">
        <v>15.9521295791623</v>
      </c>
      <c r="AH113" s="24">
        <v>16.815889614843801</v>
      </c>
      <c r="AI113" s="24">
        <v>17.807236066304998</v>
      </c>
      <c r="AJ113" s="24">
        <v>18.565099376692402</v>
      </c>
      <c r="AK113" s="24">
        <v>19.178790037182701</v>
      </c>
      <c r="AL113" s="24">
        <v>20.371723025782501</v>
      </c>
      <c r="AM113" s="24">
        <v>22.619795673841999</v>
      </c>
      <c r="AN113" s="24">
        <v>24.685419747108501</v>
      </c>
      <c r="AO113" s="24">
        <v>26.101628963574701</v>
      </c>
      <c r="AP113" s="24">
        <v>27.794700702480601</v>
      </c>
      <c r="AQ113" s="24">
        <v>29.920290391293999</v>
      </c>
      <c r="AR113" s="24">
        <v>33.291123499211501</v>
      </c>
      <c r="AS113" s="24">
        <v>37.788544659501802</v>
      </c>
      <c r="AT113" s="24">
        <v>41.686634824620299</v>
      </c>
      <c r="AU113" s="24">
        <v>44.254788345168997</v>
      </c>
      <c r="AV113" s="24">
        <v>45.6764447583299</v>
      </c>
      <c r="AW113" s="24">
        <v>47.6484197830369</v>
      </c>
      <c r="AX113" s="24">
        <v>49.345235501970798</v>
      </c>
      <c r="AY113" s="24">
        <v>50.262433187881101</v>
      </c>
      <c r="AZ113" s="24">
        <v>52.142688443997102</v>
      </c>
      <c r="BA113" s="24">
        <v>54.2331348364673</v>
      </c>
      <c r="BB113" s="24">
        <v>56.850969898336402</v>
      </c>
      <c r="BC113" s="24">
        <v>59.9197604891108</v>
      </c>
      <c r="BD113" s="24">
        <v>62.457340753462802</v>
      </c>
      <c r="BE113" s="24">
        <v>64.349060980652595</v>
      </c>
      <c r="BF113" s="24">
        <v>66.248424521891494</v>
      </c>
      <c r="BG113" s="24">
        <v>67.9758134970225</v>
      </c>
      <c r="BH113" s="24">
        <v>69.882820352310802</v>
      </c>
      <c r="BI113" s="24">
        <v>71.931228517510405</v>
      </c>
      <c r="BJ113" s="24">
        <v>73.612757608346001</v>
      </c>
      <c r="BK113" s="24">
        <v>74.755433058708903</v>
      </c>
      <c r="BL113" s="24">
        <v>76.391102265249003</v>
      </c>
      <c r="BM113" s="24">
        <v>78.970720756871501</v>
      </c>
      <c r="BN113" s="24">
        <v>81.2025684592533</v>
      </c>
      <c r="BO113" s="24">
        <v>82.490466876552105</v>
      </c>
      <c r="BP113" s="24">
        <v>84.363078818618803</v>
      </c>
      <c r="BQ113" s="24">
        <v>86.621678120172803</v>
      </c>
      <c r="BR113" s="24">
        <v>89.560532372110202</v>
      </c>
      <c r="BS113" s="24">
        <v>92.449705082727405</v>
      </c>
      <c r="BT113" s="24">
        <v>95.086992378851505</v>
      </c>
      <c r="BU113" s="24">
        <v>98.737477385344505</v>
      </c>
      <c r="BV113" s="24">
        <v>98.386419971062395</v>
      </c>
      <c r="BW113" s="24">
        <v>100</v>
      </c>
      <c r="BX113" s="24">
        <v>103.156841568622</v>
      </c>
      <c r="BY113" s="24">
        <v>105.291504532868</v>
      </c>
      <c r="BZ113" s="24">
        <v>106.83384887486601</v>
      </c>
      <c r="CA113" s="24">
        <v>108.566932118964</v>
      </c>
      <c r="CB113" s="24">
        <v>108.695721960694</v>
      </c>
    </row>
    <row r="114" spans="1:80" ht="12.75" customHeight="1" x14ac:dyDescent="0.5"/>
    <row r="115" spans="1:80" s="8" customFormat="1" ht="12.75" customHeight="1" x14ac:dyDescent="0.5">
      <c r="A115" s="7" t="s">
        <v>111</v>
      </c>
      <c r="B115" s="81" t="s">
        <v>184</v>
      </c>
      <c r="C115" s="42" t="s">
        <v>112</v>
      </c>
      <c r="D115" s="42"/>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t="s">
        <v>263</v>
      </c>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row>
    <row r="116" spans="1:80" s="10" customFormat="1" x14ac:dyDescent="0.5">
      <c r="A116" s="66" t="s">
        <v>265</v>
      </c>
      <c r="C116" s="22" t="s">
        <v>264</v>
      </c>
      <c r="D116" s="22"/>
      <c r="J116" s="13"/>
      <c r="K116" s="13"/>
      <c r="L116" s="13"/>
      <c r="M116" s="13"/>
      <c r="N116" s="13"/>
      <c r="O116" s="13"/>
      <c r="P116" s="13"/>
      <c r="Q116" s="13"/>
      <c r="R116" s="13"/>
      <c r="S116" s="13"/>
      <c r="T116" s="13"/>
      <c r="U116" s="13">
        <f t="shared" ref="U116:Z116" si="28">U118+U122</f>
        <v>482.58</v>
      </c>
      <c r="V116" s="13">
        <f t="shared" si="28"/>
        <v>469.92</v>
      </c>
      <c r="W116" s="13">
        <f t="shared" si="28"/>
        <v>504.48</v>
      </c>
      <c r="X116" s="13">
        <f t="shared" si="28"/>
        <v>525.52</v>
      </c>
      <c r="Y116" s="13">
        <f t="shared" si="28"/>
        <v>605.52</v>
      </c>
      <c r="Z116" s="13">
        <f t="shared" si="28"/>
        <v>619.76</v>
      </c>
      <c r="AA116" s="13">
        <f t="shared" ref="AA116:AV116" si="29">AA118+AA122</f>
        <v>632.54</v>
      </c>
      <c r="AB116" s="13">
        <f t="shared" si="29"/>
        <v>714.81999999999994</v>
      </c>
      <c r="AC116" s="13">
        <f t="shared" si="29"/>
        <v>864.9</v>
      </c>
      <c r="AD116" s="13">
        <f t="shared" si="29"/>
        <v>992.1</v>
      </c>
      <c r="AE116" s="13">
        <f t="shared" si="29"/>
        <v>1107.5</v>
      </c>
      <c r="AF116" s="13">
        <f t="shared" si="29"/>
        <v>1188.2</v>
      </c>
      <c r="AG116" s="13">
        <f t="shared" si="29"/>
        <v>1294.8000000000002</v>
      </c>
      <c r="AH116" s="13">
        <f t="shared" si="29"/>
        <v>1417.3999999999999</v>
      </c>
      <c r="AI116" s="13">
        <f t="shared" si="29"/>
        <v>1678.6000000000001</v>
      </c>
      <c r="AJ116" s="13">
        <f t="shared" si="29"/>
        <v>1739.8</v>
      </c>
      <c r="AK116" s="13">
        <f t="shared" si="29"/>
        <v>1925.7</v>
      </c>
      <c r="AL116" s="13">
        <f t="shared" si="29"/>
        <v>2357</v>
      </c>
      <c r="AM116" s="13">
        <f t="shared" si="29"/>
        <v>3022</v>
      </c>
      <c r="AN116" s="13">
        <f t="shared" si="29"/>
        <v>3739</v>
      </c>
      <c r="AO116" s="13">
        <f t="shared" si="29"/>
        <v>3887</v>
      </c>
      <c r="AP116" s="13">
        <f t="shared" si="29"/>
        <v>5215</v>
      </c>
      <c r="AQ116" s="13">
        <f t="shared" si="29"/>
        <v>5965</v>
      </c>
      <c r="AR116" s="13">
        <f t="shared" si="29"/>
        <v>6883</v>
      </c>
      <c r="AS116" s="13">
        <f t="shared" si="29"/>
        <v>7706</v>
      </c>
      <c r="AT116" s="13">
        <f t="shared" si="29"/>
        <v>8742</v>
      </c>
      <c r="AU116" s="13">
        <f t="shared" si="29"/>
        <v>10101</v>
      </c>
      <c r="AV116" s="13">
        <f t="shared" si="29"/>
        <v>11819</v>
      </c>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c r="CA116" s="13"/>
    </row>
    <row r="117" spans="1:80" s="10" customFormat="1" x14ac:dyDescent="0.5">
      <c r="C117" s="22"/>
      <c r="D117" s="22"/>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BQ117" s="13"/>
      <c r="BR117" s="13"/>
      <c r="BS117" s="13"/>
      <c r="BT117" s="13"/>
      <c r="BU117" s="13"/>
      <c r="BV117" s="13"/>
      <c r="BW117" s="13"/>
      <c r="BX117" s="13"/>
      <c r="BY117" s="13"/>
      <c r="BZ117" s="13"/>
      <c r="CA117" s="13"/>
    </row>
    <row r="118" spans="1:80" s="30" customFormat="1" x14ac:dyDescent="0.55000000000000004">
      <c r="A118" s="66" t="s">
        <v>265</v>
      </c>
      <c r="B118" s="66" t="s">
        <v>266</v>
      </c>
      <c r="C118" s="66" t="s">
        <v>139</v>
      </c>
      <c r="J118" s="59"/>
      <c r="K118" s="59"/>
      <c r="L118" s="174">
        <f t="shared" ref="L118:R118" si="30">L120*1.2</f>
        <v>134.28</v>
      </c>
      <c r="M118" s="174">
        <f t="shared" si="30"/>
        <v>161.06399999999999</v>
      </c>
      <c r="N118" s="174">
        <f t="shared" si="30"/>
        <v>205.94399999999999</v>
      </c>
      <c r="O118" s="174">
        <f t="shared" si="30"/>
        <v>249.43200000000002</v>
      </c>
      <c r="P118" s="174">
        <f t="shared" si="30"/>
        <v>285.95999999999998</v>
      </c>
      <c r="Q118" s="174">
        <f t="shared" si="30"/>
        <v>395.61599999999999</v>
      </c>
      <c r="R118" s="174">
        <f t="shared" si="30"/>
        <v>346.67999999999995</v>
      </c>
      <c r="S118" s="183"/>
      <c r="T118" s="174">
        <f t="shared" ref="T118:AA118" si="31">T120*1.2</f>
        <v>458.4</v>
      </c>
      <c r="U118" s="174">
        <f t="shared" si="31"/>
        <v>439.2</v>
      </c>
      <c r="V118" s="174">
        <f t="shared" si="31"/>
        <v>420</v>
      </c>
      <c r="W118" s="174">
        <f t="shared" si="31"/>
        <v>451.2</v>
      </c>
      <c r="X118" s="174">
        <f t="shared" si="31"/>
        <v>465.59999999999997</v>
      </c>
      <c r="Y118" s="174">
        <f t="shared" si="31"/>
        <v>528</v>
      </c>
      <c r="Z118" s="174">
        <f t="shared" si="31"/>
        <v>511.2</v>
      </c>
      <c r="AA118" s="174">
        <f t="shared" si="31"/>
        <v>525.6</v>
      </c>
      <c r="AB118" s="174">
        <f>AB120*1.2</f>
        <v>600</v>
      </c>
      <c r="AC118" s="68">
        <v>717.8</v>
      </c>
      <c r="AD118" s="68">
        <v>839.5</v>
      </c>
      <c r="AE118" s="68">
        <v>938</v>
      </c>
      <c r="AF118" s="68">
        <v>1024</v>
      </c>
      <c r="AG118" s="59">
        <v>1129.4000000000001</v>
      </c>
      <c r="AH118" s="59">
        <v>1272.5999999999999</v>
      </c>
      <c r="AI118" s="59">
        <v>1576.9</v>
      </c>
      <c r="AJ118" s="59">
        <v>1660</v>
      </c>
      <c r="AK118" s="59">
        <v>1823</v>
      </c>
      <c r="AL118" s="59">
        <v>2357</v>
      </c>
      <c r="AM118" s="59">
        <v>3022</v>
      </c>
      <c r="AN118" s="59">
        <v>3739</v>
      </c>
      <c r="AO118" s="59">
        <v>3887</v>
      </c>
      <c r="AP118" s="59">
        <v>5215</v>
      </c>
      <c r="AQ118" s="59">
        <v>5965</v>
      </c>
      <c r="AR118" s="59">
        <v>6883</v>
      </c>
      <c r="AS118" s="59">
        <v>7706</v>
      </c>
      <c r="AT118" s="59">
        <v>8742</v>
      </c>
      <c r="AU118" s="59">
        <v>10101</v>
      </c>
      <c r="AV118" s="59">
        <v>11819</v>
      </c>
      <c r="AW118" s="59">
        <v>14426</v>
      </c>
      <c r="AX118" s="59">
        <v>18244</v>
      </c>
      <c r="AY118" s="59">
        <v>20831</v>
      </c>
      <c r="AZ118" s="59">
        <v>31098</v>
      </c>
      <c r="BA118" s="59">
        <v>46431</v>
      </c>
      <c r="BB118" s="59">
        <v>71790</v>
      </c>
      <c r="BC118" s="59">
        <v>94655</v>
      </c>
      <c r="BD118" s="59">
        <v>133238</v>
      </c>
      <c r="BE118" s="59">
        <v>173566</v>
      </c>
      <c r="BF118" s="59">
        <v>164110</v>
      </c>
      <c r="BG118" s="59">
        <v>242447</v>
      </c>
      <c r="BH118" s="59">
        <v>331240</v>
      </c>
      <c r="BI118" s="59">
        <v>448339</v>
      </c>
      <c r="BJ118" s="59">
        <v>572052</v>
      </c>
      <c r="BK118" s="59">
        <v>619100</v>
      </c>
      <c r="BL118" s="59">
        <v>689500</v>
      </c>
      <c r="BM118" s="59">
        <v>772500</v>
      </c>
      <c r="BN118" s="59">
        <v>929600</v>
      </c>
      <c r="BO118" s="59">
        <v>1042900</v>
      </c>
      <c r="BP118" s="59">
        <v>1217500</v>
      </c>
      <c r="BQ118" s="59">
        <v>1447300</v>
      </c>
      <c r="BR118" s="59">
        <v>1774000</v>
      </c>
      <c r="BS118" s="59">
        <v>2125000</v>
      </c>
      <c r="BT118" s="68">
        <v>2673000</v>
      </c>
      <c r="BU118" s="59">
        <v>3635000</v>
      </c>
      <c r="BV118" s="59">
        <v>4293000</v>
      </c>
      <c r="BW118" s="59">
        <v>4800000</v>
      </c>
      <c r="BX118" s="59">
        <v>5584000</v>
      </c>
      <c r="BY118" s="59"/>
      <c r="BZ118" s="59"/>
      <c r="CA118" s="59"/>
    </row>
    <row r="119" spans="1:80" s="30" customFormat="1" x14ac:dyDescent="0.55000000000000004">
      <c r="A119" s="66"/>
      <c r="B119" s="66"/>
      <c r="C119" s="66" t="s">
        <v>267</v>
      </c>
      <c r="J119" s="59"/>
      <c r="K119" s="59"/>
      <c r="L119" s="59">
        <v>3.28</v>
      </c>
      <c r="M119" s="59">
        <v>5.34</v>
      </c>
      <c r="N119" s="59">
        <v>11.42</v>
      </c>
      <c r="O119" s="59">
        <v>21.94</v>
      </c>
      <c r="P119" s="59">
        <v>23.82</v>
      </c>
      <c r="Q119" s="59">
        <v>20.32</v>
      </c>
      <c r="R119" s="59">
        <v>22.98</v>
      </c>
      <c r="S119" s="59"/>
      <c r="T119" s="59">
        <v>10.86</v>
      </c>
      <c r="U119" s="106">
        <v>14</v>
      </c>
      <c r="V119" s="106">
        <v>18</v>
      </c>
      <c r="W119" s="106">
        <v>18</v>
      </c>
      <c r="X119" s="106">
        <v>26</v>
      </c>
      <c r="Y119" s="106">
        <v>28</v>
      </c>
      <c r="Z119" s="59">
        <v>40</v>
      </c>
      <c r="AA119" s="59">
        <f>3.1*20</f>
        <v>62</v>
      </c>
      <c r="AB119" s="59">
        <f>4.8*20</f>
        <v>96</v>
      </c>
      <c r="AC119" s="59">
        <v>23.6</v>
      </c>
      <c r="AD119" s="59">
        <v>20.3</v>
      </c>
      <c r="AE119" s="59">
        <v>7.8</v>
      </c>
      <c r="AF119" s="59">
        <v>11</v>
      </c>
      <c r="AG119" s="165">
        <v>2.5</v>
      </c>
      <c r="AH119" s="59">
        <v>0.1</v>
      </c>
      <c r="AI119" s="59">
        <v>0.4</v>
      </c>
      <c r="AJ119" s="59">
        <v>11.5</v>
      </c>
      <c r="AK119" s="59">
        <v>38</v>
      </c>
      <c r="AL119" s="59">
        <v>71</v>
      </c>
      <c r="AM119" s="59">
        <v>214</v>
      </c>
      <c r="AN119" s="59">
        <v>377</v>
      </c>
      <c r="AO119" s="59">
        <v>469</v>
      </c>
      <c r="AP119" s="59">
        <v>626</v>
      </c>
      <c r="AQ119" s="59">
        <v>709</v>
      </c>
      <c r="AR119" s="173">
        <v>1111</v>
      </c>
      <c r="AS119" s="59">
        <v>1795</v>
      </c>
      <c r="AT119" s="59">
        <v>1870</v>
      </c>
      <c r="AU119" s="59">
        <v>1656</v>
      </c>
      <c r="AV119" s="59">
        <v>1593</v>
      </c>
      <c r="AW119" s="59">
        <v>1234</v>
      </c>
      <c r="AX119" s="59">
        <v>1677</v>
      </c>
      <c r="AY119" s="59">
        <v>1685</v>
      </c>
      <c r="AZ119" s="173">
        <v>11145</v>
      </c>
      <c r="BA119" s="173">
        <v>17831</v>
      </c>
      <c r="BB119" s="59">
        <v>20985</v>
      </c>
      <c r="BC119" s="59">
        <v>27664</v>
      </c>
      <c r="BD119" s="59">
        <v>22875</v>
      </c>
      <c r="BE119" s="59">
        <v>32798</v>
      </c>
      <c r="BF119" s="59">
        <v>58313</v>
      </c>
      <c r="BG119" s="59">
        <v>76900</v>
      </c>
      <c r="BH119" s="59">
        <v>53700</v>
      </c>
      <c r="BI119" s="59">
        <v>74600</v>
      </c>
      <c r="BJ119" s="59">
        <v>152400</v>
      </c>
      <c r="BK119" s="59">
        <v>156300</v>
      </c>
      <c r="BL119" s="59">
        <v>240400</v>
      </c>
      <c r="BM119" s="59">
        <v>307300</v>
      </c>
      <c r="BN119" s="59">
        <v>286300</v>
      </c>
      <c r="BO119" s="59">
        <v>385200</v>
      </c>
      <c r="BP119" s="59">
        <v>622300</v>
      </c>
      <c r="BQ119" s="59">
        <v>758400</v>
      </c>
      <c r="BR119" s="59">
        <v>1021000</v>
      </c>
      <c r="BS119" s="59">
        <v>1080000</v>
      </c>
      <c r="BT119" s="68">
        <v>1385000</v>
      </c>
      <c r="BU119" s="59">
        <v>1581000</v>
      </c>
      <c r="BV119" s="59">
        <v>1340000</v>
      </c>
      <c r="BW119" s="59">
        <v>1405000</v>
      </c>
      <c r="BX119" s="59">
        <v>2219000</v>
      </c>
      <c r="BY119" s="59"/>
      <c r="BZ119" s="59"/>
      <c r="CA119" s="59"/>
    </row>
    <row r="120" spans="1:80" s="30" customFormat="1" x14ac:dyDescent="0.55000000000000004">
      <c r="A120" s="66"/>
      <c r="B120" s="66" t="s">
        <v>268</v>
      </c>
      <c r="C120" s="66" t="s">
        <v>406</v>
      </c>
      <c r="J120" s="59"/>
      <c r="K120" s="59"/>
      <c r="L120" s="173">
        <v>111.9</v>
      </c>
      <c r="M120" s="173">
        <v>134.22</v>
      </c>
      <c r="N120" s="173">
        <v>171.62</v>
      </c>
      <c r="O120" s="173">
        <v>207.86</v>
      </c>
      <c r="P120" s="173">
        <v>238.3</v>
      </c>
      <c r="Q120" s="173">
        <v>329.68</v>
      </c>
      <c r="R120" s="173">
        <v>288.89999999999998</v>
      </c>
      <c r="S120" s="59"/>
      <c r="T120" s="173">
        <v>382</v>
      </c>
      <c r="U120" s="59">
        <v>366</v>
      </c>
      <c r="V120" s="59">
        <v>350</v>
      </c>
      <c r="W120" s="59">
        <v>376</v>
      </c>
      <c r="X120" s="59">
        <v>388</v>
      </c>
      <c r="Y120" s="59">
        <v>440</v>
      </c>
      <c r="Z120" s="68">
        <f>21.3*20</f>
        <v>426</v>
      </c>
      <c r="AA120" s="68">
        <f>21.9*20</f>
        <v>438</v>
      </c>
      <c r="AB120" s="68">
        <f>25*20</f>
        <v>500</v>
      </c>
      <c r="AC120" s="59">
        <f>28.3*20</f>
        <v>566</v>
      </c>
      <c r="AD120" s="59">
        <f>34*20</f>
        <v>680</v>
      </c>
      <c r="AE120" s="59">
        <f>AE118-181</f>
        <v>757</v>
      </c>
      <c r="AF120" s="59">
        <f>AF118-156</f>
        <v>868</v>
      </c>
      <c r="AG120" s="59"/>
      <c r="AH120" s="59"/>
      <c r="AI120" s="59"/>
      <c r="AJ120" s="59"/>
      <c r="AK120" s="59"/>
      <c r="AL120" s="59"/>
      <c r="AM120" s="59"/>
      <c r="AN120" s="59"/>
      <c r="AO120" s="59"/>
      <c r="AP120" s="59"/>
      <c r="AQ120" s="59"/>
      <c r="AR120" s="59"/>
      <c r="AS120" s="59"/>
      <c r="AT120" s="59"/>
      <c r="AU120" s="59"/>
      <c r="AV120" s="59"/>
      <c r="AW120" s="59"/>
      <c r="AX120" s="59"/>
      <c r="AY120" s="59"/>
      <c r="AZ120" s="59"/>
      <c r="BA120" s="59"/>
      <c r="BB120" s="59"/>
      <c r="BC120" s="59"/>
      <c r="BD120" s="59"/>
      <c r="BE120" s="59"/>
      <c r="BF120" s="59"/>
      <c r="BG120" s="59"/>
      <c r="BH120" s="59"/>
      <c r="BI120" s="59"/>
      <c r="BJ120" s="59"/>
      <c r="BK120" s="59"/>
      <c r="BL120" s="59"/>
      <c r="BM120" s="59"/>
      <c r="BN120" s="59"/>
      <c r="BO120" s="59"/>
      <c r="BP120" s="59"/>
      <c r="BQ120" s="59"/>
      <c r="BR120" s="59"/>
      <c r="BS120" s="59"/>
      <c r="BT120" s="59"/>
      <c r="BU120" s="59"/>
      <c r="BV120" s="59"/>
      <c r="BW120" s="59"/>
      <c r="BX120" s="59"/>
      <c r="BY120" s="59"/>
      <c r="BZ120" s="59"/>
      <c r="CA120" s="59"/>
    </row>
    <row r="121" spans="1:80" x14ac:dyDescent="0.5">
      <c r="C121" s="98"/>
      <c r="J121" s="56"/>
      <c r="K121" s="56"/>
      <c r="L121" s="68"/>
      <c r="M121" s="68"/>
      <c r="N121" s="68"/>
      <c r="O121" s="68"/>
      <c r="P121" s="68"/>
      <c r="Q121" s="68"/>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row>
    <row r="122" spans="1:80" s="30" customFormat="1" x14ac:dyDescent="0.55000000000000004">
      <c r="B122" s="88" t="s">
        <v>269</v>
      </c>
      <c r="C122" s="87" t="s">
        <v>407</v>
      </c>
      <c r="D122" s="87"/>
      <c r="J122" s="59"/>
      <c r="K122" s="59"/>
      <c r="L122" s="68"/>
      <c r="M122" s="68"/>
      <c r="N122" s="68"/>
      <c r="O122" s="68"/>
      <c r="P122" s="68"/>
      <c r="Q122" s="68"/>
      <c r="R122" s="59"/>
      <c r="S122" s="59"/>
      <c r="T122" s="59"/>
      <c r="U122" s="59">
        <f>U123+U124+U125</f>
        <v>43.38</v>
      </c>
      <c r="V122" s="59">
        <f>V123+V124+V125</f>
        <v>49.92</v>
      </c>
      <c r="W122" s="59">
        <f>W123+W124+W125</f>
        <v>53.28</v>
      </c>
      <c r="X122" s="59">
        <f>X123+X124+X125</f>
        <v>59.92</v>
      </c>
      <c r="Y122" s="59">
        <f>Y123+Y124+Y125</f>
        <v>77.52</v>
      </c>
      <c r="Z122" s="59">
        <f t="shared" ref="Z122:AK122" si="32">Z123+Z124+Z125</f>
        <v>108.56</v>
      </c>
      <c r="AA122" s="59">
        <f t="shared" si="32"/>
        <v>106.94</v>
      </c>
      <c r="AB122" s="59">
        <f t="shared" si="32"/>
        <v>114.82</v>
      </c>
      <c r="AC122" s="59">
        <f t="shared" si="32"/>
        <v>147.10000000000002</v>
      </c>
      <c r="AD122" s="59">
        <f t="shared" si="32"/>
        <v>152.6</v>
      </c>
      <c r="AE122" s="59">
        <f t="shared" si="32"/>
        <v>169.5</v>
      </c>
      <c r="AF122" s="59">
        <f t="shared" si="32"/>
        <v>164.20000000000002</v>
      </c>
      <c r="AG122" s="59">
        <f t="shared" si="32"/>
        <v>165.39999999999998</v>
      </c>
      <c r="AH122" s="59">
        <f t="shared" si="32"/>
        <v>144.80000000000001</v>
      </c>
      <c r="AI122" s="59">
        <f t="shared" si="32"/>
        <v>101.7</v>
      </c>
      <c r="AJ122" s="59">
        <f t="shared" si="32"/>
        <v>79.8</v>
      </c>
      <c r="AK122" s="59">
        <f t="shared" si="32"/>
        <v>102.70000000000002</v>
      </c>
      <c r="AL122" s="59"/>
      <c r="AM122" s="59"/>
      <c r="AN122" s="59"/>
      <c r="AO122" s="59"/>
      <c r="AP122" s="59"/>
      <c r="AQ122" s="59"/>
      <c r="AR122" s="59"/>
      <c r="AS122" s="59"/>
      <c r="AT122" s="59"/>
      <c r="AU122" s="59"/>
      <c r="AV122" s="59"/>
      <c r="AW122" s="59"/>
      <c r="AX122" s="59"/>
      <c r="AY122" s="59"/>
      <c r="AZ122" s="59"/>
      <c r="BA122" s="59"/>
      <c r="BB122" s="59"/>
      <c r="BC122" s="59"/>
      <c r="BD122" s="59"/>
      <c r="BE122" s="59"/>
      <c r="BF122" s="59"/>
      <c r="BG122" s="59"/>
      <c r="BH122" s="59"/>
      <c r="BI122" s="59"/>
      <c r="BJ122" s="59"/>
      <c r="BK122" s="59"/>
      <c r="BL122" s="59"/>
      <c r="BM122" s="59">
        <f>BM125</f>
        <v>38976</v>
      </c>
      <c r="BN122" s="59"/>
      <c r="BO122" s="59"/>
      <c r="BP122" s="59"/>
      <c r="BQ122" s="59"/>
      <c r="BR122" s="59"/>
      <c r="BS122" s="59"/>
      <c r="BT122" s="59"/>
      <c r="BU122" s="59"/>
      <c r="BV122" s="59"/>
      <c r="BW122" s="59"/>
      <c r="BX122" s="59"/>
      <c r="BY122" s="59"/>
      <c r="BZ122" s="59"/>
      <c r="CA122" s="59"/>
    </row>
    <row r="123" spans="1:80" s="30" customFormat="1" x14ac:dyDescent="0.55000000000000004">
      <c r="C123" s="84" t="s">
        <v>270</v>
      </c>
      <c r="D123" s="87"/>
      <c r="J123" s="59"/>
      <c r="K123" s="59"/>
      <c r="L123" s="59">
        <v>29</v>
      </c>
      <c r="M123" s="59"/>
      <c r="N123" s="59">
        <v>5</v>
      </c>
      <c r="O123" s="59">
        <v>4</v>
      </c>
      <c r="P123" s="59">
        <v>16</v>
      </c>
      <c r="Q123" s="59"/>
      <c r="R123" s="59"/>
      <c r="S123" s="59"/>
      <c r="T123" s="59"/>
      <c r="U123" s="59">
        <v>7.38</v>
      </c>
      <c r="V123" s="59">
        <v>7.92</v>
      </c>
      <c r="W123" s="59">
        <v>7.28</v>
      </c>
      <c r="X123" s="59">
        <v>7.92</v>
      </c>
      <c r="Y123" s="59">
        <v>7.52</v>
      </c>
      <c r="Z123" s="59">
        <v>8.56</v>
      </c>
      <c r="AA123" s="59">
        <v>9.3999999999999986</v>
      </c>
      <c r="AB123" s="59">
        <f>14.6-2.5</f>
        <v>12.1</v>
      </c>
      <c r="AC123" s="59">
        <f>15.7-2.2</f>
        <v>13.5</v>
      </c>
      <c r="AD123" s="59">
        <f>19.5-2.9</f>
        <v>16.600000000000001</v>
      </c>
      <c r="AE123" s="59">
        <f>23.2-3.4</f>
        <v>19.8</v>
      </c>
      <c r="AF123" s="59">
        <f>25.8-3.6</f>
        <v>22.2</v>
      </c>
      <c r="AG123" s="59">
        <f>26.2-3.8</f>
        <v>22.4</v>
      </c>
      <c r="AH123" s="59">
        <f>28-3.8</f>
        <v>24.2</v>
      </c>
      <c r="AI123" s="59">
        <f>33.4-4.4</f>
        <v>29</v>
      </c>
      <c r="AJ123" s="59">
        <f>33.6-4.2</f>
        <v>29.400000000000002</v>
      </c>
      <c r="AK123" s="59">
        <f>34.7-5.3</f>
        <v>29.400000000000002</v>
      </c>
      <c r="AL123" s="59"/>
      <c r="AM123" s="59"/>
      <c r="AN123" s="59"/>
      <c r="AO123" s="59"/>
      <c r="AP123" s="59"/>
      <c r="AQ123" s="59"/>
      <c r="AR123" s="59"/>
      <c r="AS123" s="59"/>
      <c r="AT123" s="59"/>
      <c r="AU123" s="59"/>
      <c r="AV123" s="59"/>
      <c r="AW123" s="59"/>
      <c r="AX123" s="59"/>
      <c r="AY123" s="59"/>
      <c r="AZ123" s="59"/>
      <c r="BA123" s="59"/>
      <c r="BB123" s="59"/>
      <c r="BC123" s="59"/>
      <c r="BD123" s="59"/>
      <c r="BE123" s="59"/>
      <c r="BF123" s="59"/>
      <c r="BG123" s="59"/>
      <c r="BH123" s="59"/>
      <c r="BI123" s="59"/>
      <c r="BJ123" s="59"/>
      <c r="BK123" s="59"/>
      <c r="BL123" s="59"/>
      <c r="BM123" s="59"/>
      <c r="BN123" s="59"/>
      <c r="BO123" s="59"/>
      <c r="BP123" s="59"/>
      <c r="BQ123" s="59"/>
      <c r="BR123" s="59"/>
      <c r="BS123" s="59"/>
      <c r="BT123" s="59"/>
      <c r="BU123" s="59"/>
      <c r="BV123" s="59"/>
      <c r="BW123" s="59"/>
      <c r="BX123" s="59"/>
      <c r="BY123" s="59"/>
      <c r="BZ123" s="59"/>
      <c r="CA123" s="59"/>
    </row>
    <row r="124" spans="1:80" s="30" customFormat="1" x14ac:dyDescent="0.55000000000000004">
      <c r="B124" s="88"/>
      <c r="C124" s="84" t="s">
        <v>271</v>
      </c>
      <c r="D124" s="87"/>
      <c r="J124" s="59"/>
      <c r="K124" s="59"/>
      <c r="L124" s="68">
        <v>2.7</v>
      </c>
      <c r="M124" s="68">
        <v>5.34</v>
      </c>
      <c r="N124" s="68">
        <v>11.32</v>
      </c>
      <c r="O124" s="68">
        <v>21.86</v>
      </c>
      <c r="P124" s="68">
        <v>23.5</v>
      </c>
      <c r="Q124" s="68">
        <v>20.32</v>
      </c>
      <c r="R124" s="59"/>
      <c r="S124" s="59"/>
      <c r="T124" s="59"/>
      <c r="U124" s="59"/>
      <c r="V124" s="59"/>
      <c r="W124" s="59"/>
      <c r="X124" s="59"/>
      <c r="Y124" s="174"/>
      <c r="Z124" s="174"/>
      <c r="AA124" s="59">
        <v>11.54</v>
      </c>
      <c r="AB124" s="59">
        <v>14.72</v>
      </c>
      <c r="AC124" s="59">
        <f>24-9.5</f>
        <v>14.5</v>
      </c>
      <c r="AD124" s="59">
        <f>29.4-11.8</f>
        <v>17.599999999999998</v>
      </c>
      <c r="AE124" s="59">
        <f>35.9-16.9</f>
        <v>19</v>
      </c>
      <c r="AF124" s="59">
        <f>36.9-16.2</f>
        <v>20.7</v>
      </c>
      <c r="AG124" s="59">
        <f>41.9-19</f>
        <v>22.9</v>
      </c>
      <c r="AH124" s="59">
        <f>38.4-16.5</f>
        <v>21.9</v>
      </c>
      <c r="AI124" s="59">
        <f>69.1-44.8</f>
        <v>24.299999999999997</v>
      </c>
      <c r="AJ124" s="59">
        <f>69.6-41.3</f>
        <v>28.299999999999997</v>
      </c>
      <c r="AK124" s="59">
        <f>56.7-28.2</f>
        <v>28.500000000000004</v>
      </c>
      <c r="AL124" s="59"/>
      <c r="AM124" s="59"/>
      <c r="AN124" s="59"/>
      <c r="AO124" s="59"/>
      <c r="AP124" s="59"/>
      <c r="AQ124" s="59"/>
      <c r="AR124" s="59"/>
      <c r="AS124" s="59"/>
      <c r="AT124" s="59"/>
      <c r="AU124" s="59"/>
      <c r="AV124" s="59"/>
      <c r="AW124" s="59"/>
      <c r="AX124" s="59"/>
      <c r="AY124" s="59"/>
      <c r="AZ124" s="59"/>
      <c r="BA124" s="59"/>
      <c r="BB124" s="59"/>
      <c r="BC124" s="59"/>
      <c r="BD124" s="59"/>
      <c r="BE124" s="59"/>
      <c r="BF124" s="59"/>
      <c r="BG124" s="59"/>
      <c r="BH124" s="59"/>
      <c r="BI124" s="59"/>
      <c r="BJ124" s="59"/>
      <c r="BK124" s="59"/>
      <c r="BL124" s="59"/>
      <c r="BM124" s="59"/>
      <c r="BN124" s="59"/>
      <c r="BO124" s="59"/>
      <c r="BP124" s="59"/>
      <c r="BQ124" s="59"/>
      <c r="BR124" s="59"/>
      <c r="BS124" s="59"/>
      <c r="BT124" s="59"/>
      <c r="BU124" s="59"/>
      <c r="BV124" s="59"/>
      <c r="BW124" s="59"/>
      <c r="BX124" s="59"/>
      <c r="BY124" s="59"/>
      <c r="BZ124" s="59"/>
      <c r="CA124" s="59"/>
    </row>
    <row r="125" spans="1:80" s="30" customFormat="1" x14ac:dyDescent="0.55000000000000004">
      <c r="B125" s="88"/>
      <c r="C125" s="84" t="s">
        <v>272</v>
      </c>
      <c r="D125" s="87"/>
      <c r="J125" s="59"/>
      <c r="K125" s="59"/>
      <c r="L125" s="59">
        <v>11.06</v>
      </c>
      <c r="M125" s="59">
        <v>11.6</v>
      </c>
      <c r="N125" s="59">
        <v>13.82</v>
      </c>
      <c r="O125" s="59">
        <v>14.3</v>
      </c>
      <c r="P125" s="59">
        <v>21.62</v>
      </c>
      <c r="Q125" s="59">
        <v>30.62</v>
      </c>
      <c r="R125" s="59"/>
      <c r="S125" s="59"/>
      <c r="T125" s="59"/>
      <c r="U125" s="59">
        <v>36</v>
      </c>
      <c r="V125" s="59">
        <v>42</v>
      </c>
      <c r="W125" s="59">
        <v>46</v>
      </c>
      <c r="X125" s="59">
        <v>52</v>
      </c>
      <c r="Y125" s="59">
        <v>70</v>
      </c>
      <c r="Z125" s="59">
        <v>100</v>
      </c>
      <c r="AA125" s="59">
        <v>86</v>
      </c>
      <c r="AB125" s="59">
        <v>88</v>
      </c>
      <c r="AC125" s="59">
        <f>171.9-52.8</f>
        <v>119.10000000000001</v>
      </c>
      <c r="AD125" s="59">
        <f>179.1-60.7</f>
        <v>118.39999999999999</v>
      </c>
      <c r="AE125" s="59">
        <f>190.1-59.4</f>
        <v>130.69999999999999</v>
      </c>
      <c r="AF125" s="59">
        <f>186.3-65</f>
        <v>121.30000000000001</v>
      </c>
      <c r="AG125" s="59">
        <f>197.7-77.6</f>
        <v>120.1</v>
      </c>
      <c r="AH125" s="59">
        <f>210.8-112.1</f>
        <v>98.700000000000017</v>
      </c>
      <c r="AI125" s="59">
        <f>216.3-167.9</f>
        <v>48.400000000000006</v>
      </c>
      <c r="AJ125" s="59">
        <f>219.1-197</f>
        <v>22.099999999999994</v>
      </c>
      <c r="AK125" s="59">
        <f>234.4-189.6</f>
        <v>44.800000000000011</v>
      </c>
      <c r="AL125" s="59"/>
      <c r="AM125" s="59"/>
      <c r="AN125" s="59"/>
      <c r="AO125" s="59"/>
      <c r="AP125" s="59"/>
      <c r="AQ125" s="59"/>
      <c r="AR125" s="59"/>
      <c r="AS125" s="59"/>
      <c r="AT125" s="59"/>
      <c r="AU125" s="59"/>
      <c r="AV125" s="59"/>
      <c r="AW125" s="59"/>
      <c r="AX125" s="59"/>
      <c r="AY125" s="59"/>
      <c r="AZ125" s="59"/>
      <c r="BA125" s="59"/>
      <c r="BB125" s="59"/>
      <c r="BC125" s="59"/>
      <c r="BD125" s="59"/>
      <c r="BE125" s="59"/>
      <c r="BF125" s="59"/>
      <c r="BG125" s="59"/>
      <c r="BH125" s="59"/>
      <c r="BI125" s="59"/>
      <c r="BJ125" s="59"/>
      <c r="BK125" s="59"/>
      <c r="BL125" s="59"/>
      <c r="BM125" s="59">
        <v>38976</v>
      </c>
      <c r="BN125" s="59"/>
      <c r="BO125" s="59"/>
      <c r="BP125" s="59"/>
      <c r="BQ125" s="59"/>
      <c r="BR125" s="59"/>
      <c r="BS125" s="59"/>
      <c r="BT125" s="59"/>
      <c r="BU125" s="59"/>
      <c r="BV125" s="59"/>
      <c r="BW125" s="59"/>
      <c r="BX125" s="59"/>
      <c r="BY125" s="59"/>
      <c r="BZ125" s="59"/>
      <c r="CA125" s="59"/>
    </row>
    <row r="126" spans="1:80" s="88" customFormat="1" x14ac:dyDescent="0.55000000000000004">
      <c r="C126" s="91" t="s">
        <v>273</v>
      </c>
      <c r="D126" s="91"/>
      <c r="J126" s="106"/>
      <c r="K126" s="106"/>
      <c r="L126" s="106"/>
      <c r="M126" s="106"/>
      <c r="N126" s="106"/>
      <c r="O126" s="106"/>
      <c r="P126" s="106"/>
      <c r="Q126" s="106"/>
      <c r="R126" s="106"/>
      <c r="S126" s="106"/>
      <c r="T126" s="106"/>
      <c r="U126" s="106"/>
      <c r="V126" s="106"/>
      <c r="W126" s="106"/>
      <c r="X126" s="106"/>
      <c r="Y126" s="106"/>
      <c r="Z126" s="112">
        <f>Z122/Z116</f>
        <v>0.17516457983735639</v>
      </c>
      <c r="AA126" s="112">
        <f t="shared" ref="AA126:AK126" si="33">AA122/AA116</f>
        <v>0.16906440699402409</v>
      </c>
      <c r="AB126" s="112">
        <f t="shared" si="33"/>
        <v>0.16062785036792479</v>
      </c>
      <c r="AC126" s="112">
        <f t="shared" si="33"/>
        <v>0.17007746560295992</v>
      </c>
      <c r="AD126" s="112">
        <f t="shared" si="33"/>
        <v>0.15381513960286261</v>
      </c>
      <c r="AE126" s="112">
        <f t="shared" si="33"/>
        <v>0.15304740406320541</v>
      </c>
      <c r="AF126" s="112">
        <f t="shared" si="33"/>
        <v>0.13819222353139204</v>
      </c>
      <c r="AG126" s="112">
        <f t="shared" si="33"/>
        <v>0.12774173617547108</v>
      </c>
      <c r="AH126" s="112">
        <f t="shared" si="33"/>
        <v>0.10215888246084381</v>
      </c>
      <c r="AI126" s="112">
        <f t="shared" si="33"/>
        <v>6.0586202788037648E-2</v>
      </c>
      <c r="AJ126" s="112">
        <f t="shared" si="33"/>
        <v>4.5867341073686632E-2</v>
      </c>
      <c r="AK126" s="112">
        <f t="shared" si="33"/>
        <v>5.3331256166588778E-2</v>
      </c>
      <c r="AL126" s="106"/>
      <c r="AM126" s="106"/>
      <c r="AN126" s="106"/>
      <c r="AO126" s="106"/>
      <c r="AP126" s="106"/>
      <c r="AQ126" s="106"/>
      <c r="AR126" s="106"/>
      <c r="AS126" s="106"/>
      <c r="AT126" s="106"/>
      <c r="AU126" s="106"/>
      <c r="AV126" s="106"/>
      <c r="AW126" s="116">
        <v>0.02</v>
      </c>
      <c r="AX126" s="185">
        <f>AW126*($BM126/$AW126)^(1/16)</f>
        <v>2.0513604012852116E-2</v>
      </c>
      <c r="AY126" s="185">
        <f>AX126*($BM126/$AW126)^(1/16)</f>
        <v>2.1040397479805122E-2</v>
      </c>
      <c r="AZ126" s="185">
        <f>AY126*($BM126/$AW126)^(1/16)</f>
        <v>2.1580719108686693E-2</v>
      </c>
      <c r="BA126" s="185">
        <f t="shared" ref="BA126:BL126" si="34">AZ126*($BM126/$AW126)^(1/16)</f>
        <v>2.2134916305409483E-2</v>
      </c>
      <c r="BB126" s="185">
        <f t="shared" si="34"/>
        <v>2.2703345397339685E-2</v>
      </c>
      <c r="BC126" s="185">
        <f t="shared" si="34"/>
        <v>2.3286371862401747E-2</v>
      </c>
      <c r="BD126" s="185">
        <f t="shared" si="34"/>
        <v>2.3884370564066552E-2</v>
      </c>
      <c r="BE126" s="185">
        <f t="shared" si="34"/>
        <v>2.4497725992374129E-2</v>
      </c>
      <c r="BF126" s="185">
        <f t="shared" si="34"/>
        <v>2.5126832511145874E-2</v>
      </c>
      <c r="BG126" s="185">
        <f t="shared" si="34"/>
        <v>2.5772094611545251E-2</v>
      </c>
      <c r="BH126" s="185">
        <f t="shared" si="34"/>
        <v>2.6433927172149953E-2</v>
      </c>
      <c r="BI126" s="185">
        <f t="shared" si="34"/>
        <v>2.7112755725702792E-2</v>
      </c>
      <c r="BJ126" s="185">
        <f t="shared" si="34"/>
        <v>2.7809016732712799E-2</v>
      </c>
      <c r="BK126" s="185">
        <f t="shared" si="34"/>
        <v>2.8523157862082444E-2</v>
      </c>
      <c r="BL126" s="185">
        <f t="shared" si="34"/>
        <v>2.925563827894144E-2</v>
      </c>
      <c r="BM126" s="112">
        <f>BM122/BM128</f>
        <v>3.00069289398722E-2</v>
      </c>
      <c r="BN126" s="116">
        <v>3.00069289398722E-2</v>
      </c>
      <c r="BO126" s="116">
        <v>3.00069289398722E-2</v>
      </c>
      <c r="BP126" s="116">
        <v>3.00069289398722E-2</v>
      </c>
      <c r="BQ126" s="116">
        <v>3.00069289398722E-2</v>
      </c>
      <c r="BR126" s="116">
        <v>3.00069289398722E-2</v>
      </c>
      <c r="BS126" s="116">
        <v>3.00069289398722E-2</v>
      </c>
      <c r="BT126" s="116">
        <v>3.00069289398722E-2</v>
      </c>
      <c r="BU126" s="116">
        <v>3.00069289398722E-2</v>
      </c>
      <c r="BV126" s="116">
        <v>3.00069289398722E-2</v>
      </c>
      <c r="BW126" s="116">
        <v>3.00069289398722E-2</v>
      </c>
      <c r="BX126" s="116">
        <v>3.00069289398722E-2</v>
      </c>
      <c r="BY126" s="116">
        <v>3.00069289398722E-2</v>
      </c>
      <c r="BZ126" s="116">
        <v>3.00069289398722E-2</v>
      </c>
      <c r="CA126" s="116">
        <v>3.00069289398722E-2</v>
      </c>
    </row>
    <row r="127" spans="1:80" x14ac:dyDescent="0.5">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row>
    <row r="128" spans="1:80" s="30" customFormat="1" x14ac:dyDescent="0.55000000000000004">
      <c r="A128" s="66" t="s">
        <v>265</v>
      </c>
      <c r="B128" s="66"/>
      <c r="C128" s="99" t="s">
        <v>118</v>
      </c>
      <c r="D128" s="87"/>
      <c r="J128" s="59"/>
      <c r="K128" s="59"/>
      <c r="L128" s="174">
        <f t="shared" ref="L128:R128" si="35">L129+(L118-L120)</f>
        <v>138.38</v>
      </c>
      <c r="M128" s="174">
        <f t="shared" si="35"/>
        <v>163.84399999999999</v>
      </c>
      <c r="N128" s="174">
        <f t="shared" si="35"/>
        <v>209.32399999999998</v>
      </c>
      <c r="O128" s="174">
        <f t="shared" si="35"/>
        <v>272.572</v>
      </c>
      <c r="P128" s="174">
        <f t="shared" si="35"/>
        <v>340.65999999999997</v>
      </c>
      <c r="Q128" s="174">
        <f t="shared" si="35"/>
        <v>431.93599999999998</v>
      </c>
      <c r="R128" s="174">
        <f t="shared" si="35"/>
        <v>418.78</v>
      </c>
      <c r="S128" s="184"/>
      <c r="T128" s="174">
        <f t="shared" ref="T128:AA128" si="36">T129+(T118-T120)</f>
        <v>472.52</v>
      </c>
      <c r="U128" s="174">
        <f t="shared" si="36"/>
        <v>524.88</v>
      </c>
      <c r="V128" s="174">
        <f t="shared" si="36"/>
        <v>531.64</v>
      </c>
      <c r="W128" s="174">
        <f t="shared" si="36"/>
        <v>558.28</v>
      </c>
      <c r="X128" s="174">
        <f t="shared" si="36"/>
        <v>570.78</v>
      </c>
      <c r="Y128" s="174">
        <f t="shared" si="36"/>
        <v>590.78</v>
      </c>
      <c r="Z128" s="174">
        <f t="shared" si="36"/>
        <v>619.20000000000005</v>
      </c>
      <c r="AA128" s="174">
        <f t="shared" si="36"/>
        <v>728.6</v>
      </c>
      <c r="AB128" s="174">
        <f>AB129+(AB118-AB120)</f>
        <v>685</v>
      </c>
      <c r="AC128" s="68">
        <v>840</v>
      </c>
      <c r="AD128" s="68">
        <v>980</v>
      </c>
      <c r="AE128" s="68">
        <v>1119</v>
      </c>
      <c r="AF128" s="68">
        <v>1274</v>
      </c>
      <c r="AG128" s="68">
        <v>1410</v>
      </c>
      <c r="AH128" s="68">
        <v>1646</v>
      </c>
      <c r="AI128" s="59">
        <v>1891</v>
      </c>
      <c r="AJ128" s="59">
        <v>2275</v>
      </c>
      <c r="AK128" s="59">
        <v>2421</v>
      </c>
      <c r="AL128" s="68">
        <v>3081</v>
      </c>
      <c r="AM128" s="59">
        <v>4865</v>
      </c>
      <c r="AN128" s="59">
        <v>5974</v>
      </c>
      <c r="AO128" s="59">
        <v>5628</v>
      </c>
      <c r="AP128" s="59">
        <v>7060</v>
      </c>
      <c r="AQ128" s="59">
        <v>8695</v>
      </c>
      <c r="AR128" s="59">
        <v>12476</v>
      </c>
      <c r="AS128" s="59">
        <v>14651</v>
      </c>
      <c r="AT128" s="59">
        <v>14344</v>
      </c>
      <c r="AU128" s="59">
        <v>19176</v>
      </c>
      <c r="AV128" s="59">
        <v>18421</v>
      </c>
      <c r="AW128" s="59">
        <v>20907</v>
      </c>
      <c r="AX128" s="59">
        <v>25965</v>
      </c>
      <c r="AY128" s="59">
        <v>32373</v>
      </c>
      <c r="AZ128" s="59">
        <v>46978</v>
      </c>
      <c r="BA128" s="59">
        <v>67972</v>
      </c>
      <c r="BB128" s="59">
        <v>93944</v>
      </c>
      <c r="BC128" s="59">
        <v>116243</v>
      </c>
      <c r="BD128" s="59">
        <v>151875</v>
      </c>
      <c r="BE128" s="59">
        <v>194900</v>
      </c>
      <c r="BF128" s="59">
        <v>301202</v>
      </c>
      <c r="BG128" s="59">
        <v>358700</v>
      </c>
      <c r="BH128" s="59">
        <v>487900</v>
      </c>
      <c r="BI128" s="59">
        <v>596000</v>
      </c>
      <c r="BJ128" s="59">
        <v>638600</v>
      </c>
      <c r="BK128" s="59">
        <v>808640</v>
      </c>
      <c r="BL128" s="59">
        <v>1021510</v>
      </c>
      <c r="BM128" s="59">
        <v>1298900</v>
      </c>
      <c r="BN128" s="59">
        <v>1338300</v>
      </c>
      <c r="BO128" s="59">
        <v>1556300</v>
      </c>
      <c r="BP128" s="59">
        <v>1989500</v>
      </c>
      <c r="BQ128" s="59">
        <v>2531500</v>
      </c>
      <c r="BR128" s="59">
        <v>3248000</v>
      </c>
      <c r="BS128" s="59">
        <v>3873000</v>
      </c>
      <c r="BT128" s="59">
        <v>4800000</v>
      </c>
      <c r="BU128" s="59">
        <v>5217000</v>
      </c>
      <c r="BV128" s="59">
        <v>6907000</v>
      </c>
      <c r="BW128" s="59">
        <v>8312000</v>
      </c>
      <c r="BX128" s="59">
        <v>9439000</v>
      </c>
      <c r="BY128" s="59">
        <v>10765000</v>
      </c>
      <c r="BZ128" s="59">
        <v>13543000</v>
      </c>
      <c r="CA128" s="59">
        <v>13958000</v>
      </c>
    </row>
    <row r="129" spans="1:79" s="30" customFormat="1" x14ac:dyDescent="0.55000000000000004">
      <c r="B129" s="66"/>
      <c r="C129" s="99" t="s">
        <v>408</v>
      </c>
      <c r="D129" s="87"/>
      <c r="J129" s="59"/>
      <c r="K129" s="59"/>
      <c r="L129" s="133">
        <v>116</v>
      </c>
      <c r="M129" s="133">
        <v>137</v>
      </c>
      <c r="N129" s="133">
        <v>175</v>
      </c>
      <c r="O129" s="133">
        <v>231</v>
      </c>
      <c r="P129" s="133">
        <v>293</v>
      </c>
      <c r="Q129" s="133">
        <v>366</v>
      </c>
      <c r="R129" s="133">
        <v>361</v>
      </c>
      <c r="S129" s="133"/>
      <c r="T129" s="133">
        <f t="shared" ref="T129:Z129" si="37">T130+T134</f>
        <v>396.12</v>
      </c>
      <c r="U129" s="133">
        <f t="shared" si="37"/>
        <v>451.68</v>
      </c>
      <c r="V129" s="133">
        <f t="shared" si="37"/>
        <v>461.64</v>
      </c>
      <c r="W129" s="133">
        <f t="shared" si="37"/>
        <v>483.08</v>
      </c>
      <c r="X129" s="133">
        <f t="shared" si="37"/>
        <v>493.18</v>
      </c>
      <c r="Y129" s="133">
        <f t="shared" si="37"/>
        <v>502.78</v>
      </c>
      <c r="Z129" s="133">
        <f t="shared" si="37"/>
        <v>534</v>
      </c>
      <c r="AA129" s="133">
        <f>AA130+AA134</f>
        <v>641</v>
      </c>
      <c r="AB129" s="133">
        <f>AB130+AB134</f>
        <v>585</v>
      </c>
      <c r="AC129" s="68">
        <f>542.3+145.2</f>
        <v>687.5</v>
      </c>
      <c r="AD129" s="68">
        <f>613.2+204</f>
        <v>817.2</v>
      </c>
      <c r="AE129" s="68"/>
      <c r="AF129" s="68"/>
      <c r="AG129" s="68"/>
      <c r="AH129" s="68"/>
      <c r="AI129" s="59"/>
      <c r="AJ129" s="59"/>
      <c r="AK129" s="59"/>
      <c r="AL129" s="68"/>
      <c r="AM129" s="59"/>
      <c r="AN129" s="59"/>
      <c r="AO129" s="59"/>
      <c r="AP129" s="59"/>
      <c r="AQ129" s="59"/>
      <c r="AR129" s="59"/>
      <c r="AS129" s="59"/>
      <c r="AT129" s="59"/>
      <c r="AU129" s="59"/>
      <c r="AV129" s="59"/>
      <c r="AW129" s="59"/>
      <c r="AX129" s="59"/>
      <c r="AY129" s="59"/>
      <c r="AZ129" s="59"/>
      <c r="BA129" s="59"/>
      <c r="BB129" s="59"/>
      <c r="BC129" s="59"/>
      <c r="BD129" s="59"/>
      <c r="BE129" s="59"/>
      <c r="BF129" s="59"/>
      <c r="BG129" s="59"/>
      <c r="BH129" s="59"/>
      <c r="BI129" s="59"/>
      <c r="BJ129" s="59"/>
      <c r="BK129" s="59"/>
      <c r="BL129" s="59"/>
      <c r="BM129" s="59"/>
      <c r="BN129" s="59"/>
      <c r="BO129" s="59"/>
      <c r="BP129" s="59"/>
      <c r="BQ129" s="59"/>
      <c r="BR129" s="59"/>
      <c r="BS129" s="59"/>
      <c r="BT129" s="59"/>
      <c r="BU129" s="59"/>
      <c r="BV129" s="59"/>
      <c r="BW129" s="59"/>
      <c r="BX129" s="59"/>
      <c r="BY129" s="59"/>
      <c r="BZ129" s="59"/>
      <c r="CA129" s="59"/>
    </row>
    <row r="130" spans="1:79" s="30" customFormat="1" x14ac:dyDescent="0.55000000000000004">
      <c r="B130" s="66"/>
      <c r="C130" s="99" t="s">
        <v>274</v>
      </c>
      <c r="D130" s="87"/>
      <c r="J130" s="59"/>
      <c r="K130" s="59"/>
      <c r="L130" s="59"/>
      <c r="M130" s="59">
        <v>116.84</v>
      </c>
      <c r="N130" s="59"/>
      <c r="O130" s="59"/>
      <c r="P130" s="59"/>
      <c r="Q130" s="59">
        <v>266.68</v>
      </c>
      <c r="R130" s="59"/>
      <c r="S130" s="59"/>
      <c r="T130" s="59">
        <v>329.38</v>
      </c>
      <c r="U130" s="59">
        <v>370</v>
      </c>
      <c r="V130" s="59">
        <v>356</v>
      </c>
      <c r="W130" s="59">
        <v>374</v>
      </c>
      <c r="X130" s="59">
        <v>390</v>
      </c>
      <c r="Y130" s="59">
        <v>424</v>
      </c>
      <c r="Z130" s="59">
        <v>420</v>
      </c>
      <c r="AA130" s="59">
        <v>494</v>
      </c>
      <c r="AB130" s="59">
        <v>472</v>
      </c>
      <c r="AC130" s="59">
        <v>695</v>
      </c>
      <c r="AD130" s="59">
        <v>776</v>
      </c>
      <c r="AE130" s="59">
        <v>888</v>
      </c>
      <c r="AF130" s="59">
        <v>980</v>
      </c>
      <c r="AG130" s="59">
        <v>1065</v>
      </c>
      <c r="AH130" s="59">
        <v>1186</v>
      </c>
      <c r="AI130" s="59">
        <v>1355</v>
      </c>
      <c r="AJ130" s="59">
        <v>1583</v>
      </c>
      <c r="AK130" s="59">
        <v>1823</v>
      </c>
      <c r="AL130" s="68">
        <v>2064</v>
      </c>
      <c r="AM130" s="59">
        <v>3201</v>
      </c>
      <c r="AN130" s="59">
        <v>4272</v>
      </c>
      <c r="AO130" s="59">
        <v>4008</v>
      </c>
      <c r="AP130" s="59">
        <v>4877</v>
      </c>
      <c r="AQ130" s="59">
        <v>6077</v>
      </c>
      <c r="AR130" s="59">
        <v>8912</v>
      </c>
      <c r="AS130" s="59">
        <v>10161</v>
      </c>
      <c r="AT130" s="59">
        <v>9998</v>
      </c>
      <c r="AU130" s="59">
        <v>14479</v>
      </c>
      <c r="AV130" s="59">
        <v>14434</v>
      </c>
      <c r="AW130" s="59">
        <v>16635</v>
      </c>
      <c r="AX130" s="59">
        <v>20554</v>
      </c>
      <c r="AY130" s="59">
        <v>26912</v>
      </c>
      <c r="AZ130" s="59">
        <v>35146</v>
      </c>
      <c r="BA130" s="59">
        <v>51896</v>
      </c>
      <c r="BB130" s="59">
        <v>78069</v>
      </c>
      <c r="BC130" s="59">
        <v>93867</v>
      </c>
      <c r="BD130" s="59">
        <v>135375</v>
      </c>
      <c r="BE130" s="59">
        <v>162300</v>
      </c>
      <c r="BF130" s="59">
        <v>240300</v>
      </c>
      <c r="BG130" s="59">
        <v>284000</v>
      </c>
      <c r="BH130" s="59">
        <v>401900</v>
      </c>
      <c r="BI130" s="59">
        <v>474600</v>
      </c>
      <c r="BJ130" s="59">
        <v>528300</v>
      </c>
      <c r="BK130" s="59">
        <v>611240</v>
      </c>
      <c r="BL130" s="59">
        <v>703760</v>
      </c>
      <c r="BM130" s="59">
        <v>811300</v>
      </c>
      <c r="BN130" s="59">
        <v>1018800</v>
      </c>
      <c r="BO130" s="59">
        <v>1230900</v>
      </c>
      <c r="BP130" s="59">
        <v>1488700</v>
      </c>
      <c r="BQ130" s="59">
        <v>1887200</v>
      </c>
      <c r="BR130" s="59">
        <v>2300000</v>
      </c>
      <c r="BS130" s="59">
        <v>2920000</v>
      </c>
      <c r="BT130" s="59">
        <v>3327000</v>
      </c>
      <c r="BU130" s="59">
        <v>3398000</v>
      </c>
      <c r="BV130" s="59">
        <v>4682000</v>
      </c>
      <c r="BW130" s="59">
        <v>5700000</v>
      </c>
      <c r="BX130" s="59">
        <v>6690000</v>
      </c>
      <c r="BY130" s="59">
        <v>6989000</v>
      </c>
      <c r="BZ130" s="59">
        <v>9445000</v>
      </c>
      <c r="CA130" s="59">
        <v>10298000</v>
      </c>
    </row>
    <row r="131" spans="1:79" s="30" customFormat="1" x14ac:dyDescent="0.55000000000000004">
      <c r="B131" s="66"/>
      <c r="C131" s="99" t="s">
        <v>122</v>
      </c>
      <c r="D131" s="87"/>
      <c r="J131" s="59"/>
      <c r="K131" s="59"/>
      <c r="L131" s="59"/>
      <c r="M131" s="59"/>
      <c r="N131" s="59"/>
      <c r="O131" s="59"/>
      <c r="P131" s="59"/>
      <c r="Q131" s="59"/>
      <c r="R131" s="59"/>
      <c r="S131" s="59"/>
      <c r="T131" s="59"/>
      <c r="U131" s="59"/>
      <c r="V131" s="59"/>
      <c r="W131" s="59"/>
      <c r="X131" s="59"/>
      <c r="Y131" s="59"/>
      <c r="Z131" s="174"/>
      <c r="AA131" s="174"/>
      <c r="AB131" s="174"/>
      <c r="AC131" s="176">
        <v>239.2</v>
      </c>
      <c r="AD131" s="176">
        <v>284.3</v>
      </c>
      <c r="AE131" s="176">
        <v>294.3</v>
      </c>
      <c r="AF131" s="176">
        <v>308.89999999999998</v>
      </c>
      <c r="AG131" s="176">
        <v>344.7</v>
      </c>
      <c r="AH131" s="176">
        <v>343</v>
      </c>
      <c r="AI131" s="173">
        <v>396</v>
      </c>
      <c r="AJ131" s="177">
        <v>515</v>
      </c>
      <c r="AK131" s="177">
        <v>588</v>
      </c>
      <c r="AL131" s="177">
        <v>765</v>
      </c>
      <c r="AM131" s="176">
        <v>1100</v>
      </c>
      <c r="AN131" s="177">
        <v>1640</v>
      </c>
      <c r="AO131" s="177">
        <v>1730</v>
      </c>
      <c r="AP131" s="177">
        <v>1955</v>
      </c>
      <c r="AQ131" s="177">
        <v>2133</v>
      </c>
      <c r="AR131" s="177">
        <v>2435</v>
      </c>
      <c r="AS131" s="59">
        <v>2533</v>
      </c>
      <c r="AT131" s="59">
        <v>2819</v>
      </c>
      <c r="AU131" s="59">
        <v>3765</v>
      </c>
      <c r="AV131" s="59">
        <v>4227</v>
      </c>
      <c r="AW131" s="59">
        <v>4661</v>
      </c>
      <c r="AX131" s="59">
        <v>6640</v>
      </c>
      <c r="AY131" s="59">
        <v>8015</v>
      </c>
      <c r="AZ131" s="59">
        <v>9004</v>
      </c>
      <c r="BA131" s="59">
        <v>11920</v>
      </c>
      <c r="BB131" s="59">
        <v>20128</v>
      </c>
      <c r="BC131" s="59">
        <v>26834</v>
      </c>
      <c r="BD131" s="59">
        <v>30439</v>
      </c>
      <c r="BE131" s="59">
        <v>37500</v>
      </c>
      <c r="BF131" s="59">
        <v>57400</v>
      </c>
      <c r="BG131" s="59">
        <v>77900</v>
      </c>
      <c r="BH131" s="59">
        <v>111500</v>
      </c>
      <c r="BI131" s="59">
        <v>156100</v>
      </c>
      <c r="BJ131" s="59">
        <v>199200</v>
      </c>
      <c r="BK131" s="59">
        <v>218840</v>
      </c>
      <c r="BL131" s="59">
        <v>220480</v>
      </c>
      <c r="BM131" s="59">
        <v>285300</v>
      </c>
      <c r="BN131" s="59">
        <v>308100</v>
      </c>
      <c r="BO131" s="59">
        <v>342000</v>
      </c>
      <c r="BP131" s="59">
        <v>397800</v>
      </c>
      <c r="BQ131" s="59">
        <v>464100</v>
      </c>
      <c r="BR131" s="59">
        <v>551000</v>
      </c>
      <c r="BS131" s="59">
        <v>657000</v>
      </c>
      <c r="BT131" s="59">
        <v>1004000</v>
      </c>
      <c r="BU131" s="59">
        <v>1135000</v>
      </c>
      <c r="BV131" s="59">
        <v>1609000</v>
      </c>
      <c r="BW131" s="59">
        <v>1723000</v>
      </c>
      <c r="BX131" s="59">
        <v>2346000</v>
      </c>
      <c r="BY131" s="59">
        <v>2722000</v>
      </c>
      <c r="BZ131" s="59">
        <v>3350000</v>
      </c>
      <c r="CA131" s="59">
        <v>3969000</v>
      </c>
    </row>
    <row r="132" spans="1:79" s="30" customFormat="1" x14ac:dyDescent="0.55000000000000004">
      <c r="B132" s="66"/>
      <c r="C132" s="99" t="s">
        <v>275</v>
      </c>
      <c r="D132" s="87"/>
      <c r="J132" s="59"/>
      <c r="K132" s="59"/>
      <c r="L132" s="59"/>
      <c r="M132" s="59"/>
      <c r="N132" s="59"/>
      <c r="O132" s="59"/>
      <c r="P132" s="59"/>
      <c r="Q132" s="59"/>
      <c r="R132" s="59"/>
      <c r="S132" s="59"/>
      <c r="T132" s="59"/>
      <c r="U132" s="59"/>
      <c r="V132" s="59"/>
      <c r="W132" s="59"/>
      <c r="X132" s="59"/>
      <c r="Y132" s="59"/>
      <c r="Z132" s="59"/>
      <c r="AA132" s="59"/>
      <c r="AB132" s="59"/>
      <c r="AC132" s="177">
        <v>31.5</v>
      </c>
      <c r="AD132" s="177">
        <v>42.8</v>
      </c>
      <c r="AE132" s="177">
        <v>40.6</v>
      </c>
      <c r="AF132" s="177">
        <v>46</v>
      </c>
      <c r="AG132" s="177">
        <v>60.9</v>
      </c>
      <c r="AH132" s="177">
        <v>51.8</v>
      </c>
      <c r="AI132" s="177">
        <v>69</v>
      </c>
      <c r="AJ132" s="177">
        <v>96</v>
      </c>
      <c r="AK132" s="177">
        <v>118</v>
      </c>
      <c r="AL132" s="176">
        <v>142</v>
      </c>
      <c r="AM132" s="176">
        <v>163</v>
      </c>
      <c r="AN132" s="177">
        <v>214</v>
      </c>
      <c r="AO132" s="177">
        <v>303</v>
      </c>
      <c r="AP132" s="177">
        <v>356</v>
      </c>
      <c r="AQ132" s="177">
        <v>422</v>
      </c>
      <c r="AR132" s="177">
        <v>581</v>
      </c>
      <c r="AS132" s="59">
        <v>823</v>
      </c>
      <c r="AT132" s="59">
        <v>1025</v>
      </c>
      <c r="AU132" s="59">
        <v>1276</v>
      </c>
      <c r="AV132" s="59">
        <v>1637</v>
      </c>
      <c r="AW132" s="59">
        <v>2006</v>
      </c>
      <c r="AX132" s="59">
        <v>2519</v>
      </c>
      <c r="AY132" s="59">
        <v>2815</v>
      </c>
      <c r="AZ132" s="59">
        <v>6480</v>
      </c>
      <c r="BA132" s="59">
        <v>10449</v>
      </c>
      <c r="BB132" s="59">
        <v>14649</v>
      </c>
      <c r="BC132" s="59">
        <v>16628</v>
      </c>
      <c r="BD132" s="59">
        <v>20101</v>
      </c>
      <c r="BE132" s="59">
        <v>23700</v>
      </c>
      <c r="BF132" s="59">
        <v>31400</v>
      </c>
      <c r="BG132" s="59">
        <v>51500</v>
      </c>
      <c r="BH132" s="59">
        <v>89700</v>
      </c>
      <c r="BI132" s="59">
        <v>112600</v>
      </c>
      <c r="BJ132" s="59">
        <v>111100</v>
      </c>
      <c r="BK132" s="59">
        <v>115900</v>
      </c>
      <c r="BL132" s="59">
        <v>95900</v>
      </c>
      <c r="BM132" s="59">
        <v>127000</v>
      </c>
      <c r="BN132" s="59">
        <v>128100</v>
      </c>
      <c r="BO132" s="59">
        <v>121100</v>
      </c>
      <c r="BP132" s="59">
        <v>99800</v>
      </c>
      <c r="BQ132" s="59">
        <v>121700</v>
      </c>
      <c r="BR132" s="59">
        <v>143000</v>
      </c>
      <c r="BS132" s="59">
        <v>219000</v>
      </c>
      <c r="BT132" s="59">
        <v>247000</v>
      </c>
      <c r="BU132" s="59">
        <v>265000</v>
      </c>
      <c r="BV132" s="59">
        <v>243000</v>
      </c>
      <c r="BW132" s="59">
        <v>249000</v>
      </c>
      <c r="BX132" s="59">
        <v>353000</v>
      </c>
      <c r="BY132" s="59">
        <v>436000</v>
      </c>
      <c r="BZ132" s="59">
        <v>767000</v>
      </c>
      <c r="CA132" s="59">
        <v>977000</v>
      </c>
    </row>
    <row r="133" spans="1:79" s="30" customFormat="1" x14ac:dyDescent="0.55000000000000004">
      <c r="B133" s="66"/>
      <c r="C133" s="99" t="s">
        <v>276</v>
      </c>
      <c r="D133" s="87"/>
      <c r="J133" s="59"/>
      <c r="K133" s="59"/>
      <c r="L133" s="59"/>
      <c r="M133" s="59"/>
      <c r="N133" s="59"/>
      <c r="O133" s="59"/>
      <c r="P133" s="59"/>
      <c r="Q133" s="59"/>
      <c r="R133" s="59"/>
      <c r="S133" s="59"/>
      <c r="T133" s="59"/>
      <c r="U133" s="59"/>
      <c r="V133" s="59"/>
      <c r="W133" s="59"/>
      <c r="X133" s="59"/>
      <c r="Y133" s="59"/>
      <c r="Z133" s="59"/>
      <c r="AA133" s="59"/>
      <c r="AB133" s="59"/>
      <c r="AC133" s="173">
        <f>542</f>
        <v>542</v>
      </c>
      <c r="AD133" s="173">
        <v>613</v>
      </c>
      <c r="AE133" s="173"/>
      <c r="AF133" s="173"/>
      <c r="AG133" s="173"/>
      <c r="AH133" s="173"/>
      <c r="AI133" s="173">
        <f>AI130-AI131-AI132</f>
        <v>890</v>
      </c>
      <c r="AJ133" s="173">
        <f t="shared" ref="AJ133:AR133" si="38">AJ130-AJ131-AJ132</f>
        <v>972</v>
      </c>
      <c r="AK133" s="173">
        <f t="shared" si="38"/>
        <v>1117</v>
      </c>
      <c r="AL133" s="173">
        <f t="shared" si="38"/>
        <v>1157</v>
      </c>
      <c r="AM133" s="177">
        <f t="shared" si="38"/>
        <v>1938</v>
      </c>
      <c r="AN133" s="177">
        <f t="shared" si="38"/>
        <v>2418</v>
      </c>
      <c r="AO133" s="177">
        <f t="shared" si="38"/>
        <v>1975</v>
      </c>
      <c r="AP133" s="177">
        <f t="shared" si="38"/>
        <v>2566</v>
      </c>
      <c r="AQ133" s="177">
        <f t="shared" si="38"/>
        <v>3522</v>
      </c>
      <c r="AR133" s="177">
        <f t="shared" si="38"/>
        <v>5896</v>
      </c>
      <c r="AS133" s="59">
        <v>6805</v>
      </c>
      <c r="AT133" s="59">
        <v>6154</v>
      </c>
      <c r="AU133" s="59">
        <v>9438</v>
      </c>
      <c r="AV133" s="59">
        <v>8570</v>
      </c>
      <c r="AW133" s="59">
        <v>9968</v>
      </c>
      <c r="AX133" s="59">
        <v>11395</v>
      </c>
      <c r="AY133" s="59">
        <v>16082</v>
      </c>
      <c r="AZ133" s="59">
        <v>19662</v>
      </c>
      <c r="BA133" s="59">
        <v>29527</v>
      </c>
      <c r="BB133" s="59">
        <v>43292</v>
      </c>
      <c r="BC133" s="59">
        <v>50405</v>
      </c>
      <c r="BD133" s="59">
        <v>84835</v>
      </c>
      <c r="BE133" s="59">
        <v>101100</v>
      </c>
      <c r="BF133" s="59">
        <v>151500</v>
      </c>
      <c r="BG133" s="59">
        <v>154600</v>
      </c>
      <c r="BH133" s="59">
        <v>200700</v>
      </c>
      <c r="BI133" s="59">
        <v>205900</v>
      </c>
      <c r="BJ133" s="59">
        <v>218000</v>
      </c>
      <c r="BK133" s="59">
        <v>276500</v>
      </c>
      <c r="BL133" s="59">
        <v>387380</v>
      </c>
      <c r="BM133" s="59">
        <v>399000</v>
      </c>
      <c r="BN133" s="59">
        <v>582600</v>
      </c>
      <c r="BO133" s="59">
        <v>767800</v>
      </c>
      <c r="BP133" s="59">
        <v>991100</v>
      </c>
      <c r="BQ133" s="59">
        <v>1301400</v>
      </c>
      <c r="BR133" s="59">
        <v>1606000</v>
      </c>
      <c r="BS133" s="59">
        <v>2044000</v>
      </c>
      <c r="BT133" s="59">
        <v>2076000</v>
      </c>
      <c r="BU133" s="59">
        <v>1998000</v>
      </c>
      <c r="BV133" s="59">
        <v>2830000</v>
      </c>
      <c r="BW133" s="59">
        <v>3728000</v>
      </c>
      <c r="BX133" s="59">
        <v>3991000</v>
      </c>
      <c r="BY133" s="59">
        <v>3831000</v>
      </c>
      <c r="BZ133" s="59">
        <v>5328000</v>
      </c>
      <c r="CA133" s="59">
        <v>5352000</v>
      </c>
    </row>
    <row r="134" spans="1:79" s="30" customFormat="1" x14ac:dyDescent="0.55000000000000004">
      <c r="B134" s="66"/>
      <c r="C134" s="99" t="s">
        <v>277</v>
      </c>
      <c r="D134" s="87"/>
      <c r="J134" s="59"/>
      <c r="K134" s="59"/>
      <c r="L134" s="59"/>
      <c r="M134" s="59">
        <v>19.920000000000002</v>
      </c>
      <c r="N134" s="59"/>
      <c r="O134" s="59"/>
      <c r="P134" s="59"/>
      <c r="Q134" s="59">
        <v>99.78</v>
      </c>
      <c r="R134" s="59"/>
      <c r="S134" s="59"/>
      <c r="T134" s="59">
        <v>66.739999999999995</v>
      </c>
      <c r="U134" s="59">
        <v>81.680000000000007</v>
      </c>
      <c r="V134" s="59">
        <v>105.64</v>
      </c>
      <c r="W134" s="59">
        <v>109.08</v>
      </c>
      <c r="X134" s="59">
        <v>103.18</v>
      </c>
      <c r="Y134" s="59">
        <v>78.78</v>
      </c>
      <c r="Z134" s="59">
        <v>114</v>
      </c>
      <c r="AA134" s="59">
        <v>147</v>
      </c>
      <c r="AB134" s="59">
        <v>113</v>
      </c>
      <c r="AC134" s="59">
        <v>145</v>
      </c>
      <c r="AD134" s="59">
        <v>204</v>
      </c>
      <c r="AE134" s="59">
        <v>231</v>
      </c>
      <c r="AF134" s="59">
        <v>294</v>
      </c>
      <c r="AG134" s="59">
        <v>345</v>
      </c>
      <c r="AH134" s="59">
        <v>460</v>
      </c>
      <c r="AI134" s="59">
        <v>536</v>
      </c>
      <c r="AJ134" s="59">
        <v>692</v>
      </c>
      <c r="AK134" s="59">
        <v>598</v>
      </c>
      <c r="AL134" s="68">
        <v>978</v>
      </c>
      <c r="AM134" s="59">
        <v>1664</v>
      </c>
      <c r="AN134" s="59">
        <v>1702</v>
      </c>
      <c r="AO134" s="59">
        <v>1620</v>
      </c>
      <c r="AP134" s="59">
        <v>2183</v>
      </c>
      <c r="AQ134" s="59">
        <v>2618</v>
      </c>
      <c r="AR134" s="59">
        <v>3564</v>
      </c>
      <c r="AS134" s="59">
        <v>4490</v>
      </c>
      <c r="AT134" s="59">
        <v>4346</v>
      </c>
      <c r="AU134" s="59">
        <v>4697</v>
      </c>
      <c r="AV134" s="59">
        <v>3987</v>
      </c>
      <c r="AW134" s="59">
        <v>4272</v>
      </c>
      <c r="AX134" s="59">
        <v>5411</v>
      </c>
      <c r="AY134" s="59">
        <v>5461</v>
      </c>
      <c r="AZ134" s="59">
        <v>11832</v>
      </c>
      <c r="BA134" s="59">
        <v>16076</v>
      </c>
      <c r="BB134" s="59">
        <v>15875</v>
      </c>
      <c r="BC134" s="59">
        <v>22376</v>
      </c>
      <c r="BD134" s="59">
        <v>16500</v>
      </c>
      <c r="BE134" s="59">
        <v>32600</v>
      </c>
      <c r="BF134" s="59">
        <v>60902</v>
      </c>
      <c r="BG134" s="59">
        <v>74700</v>
      </c>
      <c r="BH134" s="59">
        <v>86000</v>
      </c>
      <c r="BI134" s="59">
        <v>121400</v>
      </c>
      <c r="BJ134" s="59">
        <v>110300</v>
      </c>
      <c r="BK134" s="59">
        <v>197400</v>
      </c>
      <c r="BL134" s="59">
        <v>247950</v>
      </c>
      <c r="BM134" s="59">
        <v>359900</v>
      </c>
      <c r="BN134" s="59">
        <v>286300</v>
      </c>
      <c r="BO134" s="59">
        <v>291300</v>
      </c>
      <c r="BP134" s="59">
        <v>500900</v>
      </c>
      <c r="BQ134" s="59">
        <v>644400</v>
      </c>
      <c r="BR134" s="59">
        <v>949000</v>
      </c>
      <c r="BS134" s="59">
        <v>953000</v>
      </c>
      <c r="BT134" s="59">
        <v>1473000</v>
      </c>
      <c r="BU134" s="59">
        <v>1819000</v>
      </c>
      <c r="BV134" s="59">
        <v>2226000</v>
      </c>
      <c r="BW134" s="59">
        <v>2611000</v>
      </c>
      <c r="BX134" s="59">
        <v>2749000</v>
      </c>
      <c r="BY134" s="59">
        <v>3775000</v>
      </c>
      <c r="BZ134" s="59">
        <v>4098000</v>
      </c>
      <c r="CA134" s="59">
        <v>3660000</v>
      </c>
    </row>
    <row r="135" spans="1:79" s="30" customFormat="1" x14ac:dyDescent="0.55000000000000004">
      <c r="B135" s="66"/>
      <c r="C135" s="99" t="s">
        <v>278</v>
      </c>
      <c r="D135" s="87"/>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c r="AQ135" s="59"/>
      <c r="AR135" s="59"/>
      <c r="AS135" s="59"/>
      <c r="AT135" s="59"/>
      <c r="AU135" s="59"/>
      <c r="AV135" s="59"/>
      <c r="AW135" s="59"/>
      <c r="AX135" s="59"/>
      <c r="AY135" s="59"/>
      <c r="AZ135" s="59"/>
      <c r="BA135" s="59"/>
      <c r="BB135" s="59"/>
      <c r="BC135" s="59"/>
      <c r="BD135" s="59"/>
      <c r="BE135" s="59"/>
      <c r="BF135" s="59"/>
      <c r="BG135" s="59"/>
      <c r="BH135" s="59"/>
      <c r="BI135" s="59"/>
      <c r="BJ135" s="59"/>
      <c r="BK135" s="59"/>
      <c r="BL135" s="59">
        <v>69800</v>
      </c>
      <c r="BM135" s="59">
        <v>127700</v>
      </c>
      <c r="BN135" s="59">
        <v>33200</v>
      </c>
      <c r="BO135" s="59">
        <v>34100</v>
      </c>
      <c r="BP135" s="59"/>
      <c r="BQ135" s="59"/>
      <c r="BR135" s="59"/>
      <c r="BS135" s="59"/>
      <c r="BT135" s="59"/>
      <c r="BU135" s="59"/>
      <c r="BV135" s="59"/>
      <c r="BW135" s="59"/>
      <c r="BX135" s="59"/>
      <c r="BY135" s="59"/>
      <c r="BZ135" s="59"/>
      <c r="CA135" s="59"/>
    </row>
    <row r="136" spans="1:79" x14ac:dyDescent="0.5">
      <c r="J136" s="56"/>
      <c r="K136" s="56"/>
      <c r="L136" s="56"/>
      <c r="M136" s="56"/>
      <c r="N136" s="56"/>
      <c r="O136" s="56"/>
      <c r="P136" s="56"/>
      <c r="Q136" s="56"/>
      <c r="R136" s="56"/>
      <c r="S136" s="56"/>
      <c r="T136" s="56"/>
      <c r="U136" s="56"/>
      <c r="V136" s="56"/>
      <c r="W136" s="56"/>
      <c r="X136" s="56"/>
      <c r="Y136" s="56"/>
      <c r="Z136" s="56"/>
      <c r="AA136" s="56"/>
      <c r="AB136" s="56"/>
      <c r="AC136" s="153"/>
      <c r="AD136" s="153"/>
      <c r="AE136" s="153"/>
      <c r="AF136" s="153"/>
      <c r="AG136" s="153"/>
      <c r="AH136" s="153"/>
      <c r="AI136" s="153"/>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row>
    <row r="137" spans="1:79" s="30" customFormat="1" x14ac:dyDescent="0.55000000000000004">
      <c r="A137" s="66" t="s">
        <v>265</v>
      </c>
      <c r="B137" s="30" t="s">
        <v>279</v>
      </c>
      <c r="C137" s="87" t="s">
        <v>137</v>
      </c>
      <c r="D137" s="87"/>
      <c r="J137" s="59"/>
      <c r="K137" s="59"/>
      <c r="L137" s="59"/>
      <c r="M137" s="59"/>
      <c r="N137" s="59"/>
      <c r="O137" s="59"/>
      <c r="P137" s="59"/>
      <c r="Q137" s="59"/>
      <c r="R137" s="59"/>
      <c r="S137" s="59"/>
      <c r="T137" s="59"/>
      <c r="U137" s="59"/>
      <c r="V137" s="59"/>
      <c r="W137" s="59"/>
      <c r="X137" s="59"/>
      <c r="Y137" s="59">
        <f>657*20/1000</f>
        <v>13.14</v>
      </c>
      <c r="Z137" s="59">
        <f>450*20/1000</f>
        <v>9</v>
      </c>
      <c r="AA137" s="59">
        <f>323*20/1000</f>
        <v>6.46</v>
      </c>
      <c r="AB137" s="59">
        <f>615*20/1000</f>
        <v>12.3</v>
      </c>
      <c r="AC137" s="59">
        <v>22.4</v>
      </c>
      <c r="AD137" s="59">
        <v>33</v>
      </c>
      <c r="AE137" s="59">
        <v>44</v>
      </c>
      <c r="AF137" s="59">
        <v>62</v>
      </c>
      <c r="AG137" s="59">
        <v>88</v>
      </c>
      <c r="AH137" s="59">
        <v>78</v>
      </c>
      <c r="AI137" s="59">
        <v>127</v>
      </c>
      <c r="AJ137" s="59">
        <v>174</v>
      </c>
      <c r="AK137" s="59">
        <v>260</v>
      </c>
      <c r="AL137" s="59">
        <v>247</v>
      </c>
      <c r="AM137" s="59">
        <v>494</v>
      </c>
      <c r="AN137" s="59">
        <v>730</v>
      </c>
      <c r="AO137" s="59">
        <v>726</v>
      </c>
      <c r="AP137" s="59">
        <f>AP138+AP139</f>
        <v>909</v>
      </c>
      <c r="AQ137" s="59">
        <f>AQ138+AQ139</f>
        <v>1336</v>
      </c>
      <c r="AR137" s="59">
        <f>AR138+AR139</f>
        <v>3153</v>
      </c>
      <c r="AS137" s="59">
        <f>AS138+AS139</f>
        <v>1109</v>
      </c>
      <c r="AT137" s="59">
        <v>2294</v>
      </c>
      <c r="AU137" s="59">
        <f t="shared" ref="AU137:BJ137" si="39">AU138+AU139</f>
        <v>2308</v>
      </c>
      <c r="AV137" s="59">
        <f t="shared" si="39"/>
        <v>2557</v>
      </c>
      <c r="AW137" s="59">
        <f t="shared" si="39"/>
        <v>2743</v>
      </c>
      <c r="AX137" s="59">
        <f t="shared" si="39"/>
        <v>3659</v>
      </c>
      <c r="AY137" s="59">
        <f t="shared" si="39"/>
        <v>4979</v>
      </c>
      <c r="AZ137" s="59">
        <f t="shared" si="39"/>
        <v>7200</v>
      </c>
      <c r="BA137" s="59">
        <f t="shared" si="39"/>
        <v>7637</v>
      </c>
      <c r="BB137" s="59">
        <f t="shared" si="39"/>
        <v>10075</v>
      </c>
      <c r="BC137" s="59">
        <f t="shared" si="39"/>
        <v>11572</v>
      </c>
      <c r="BD137" s="59">
        <f t="shared" si="39"/>
        <v>12820</v>
      </c>
      <c r="BE137" s="59">
        <f t="shared" si="39"/>
        <v>18220</v>
      </c>
      <c r="BF137" s="59">
        <f t="shared" si="39"/>
        <v>22089</v>
      </c>
      <c r="BG137" s="59">
        <f t="shared" si="39"/>
        <v>22752</v>
      </c>
      <c r="BH137" s="165">
        <f t="shared" si="39"/>
        <v>28948.751487485759</v>
      </c>
      <c r="BI137" s="165">
        <f t="shared" si="39"/>
        <v>42874.767864740046</v>
      </c>
      <c r="BJ137" s="59">
        <f t="shared" si="39"/>
        <v>63500</v>
      </c>
      <c r="BK137" s="59">
        <f t="shared" ref="BK137:BV137" si="40">BK138+BK139</f>
        <v>66700</v>
      </c>
      <c r="BL137" s="59">
        <f t="shared" si="40"/>
        <v>74000</v>
      </c>
      <c r="BM137" s="59">
        <f t="shared" si="40"/>
        <v>78500</v>
      </c>
      <c r="BN137" s="59">
        <f t="shared" si="40"/>
        <v>89200</v>
      </c>
      <c r="BO137" s="59">
        <f t="shared" si="40"/>
        <v>99700</v>
      </c>
      <c r="BP137" s="59">
        <f t="shared" si="40"/>
        <v>117900</v>
      </c>
      <c r="BQ137" s="59">
        <f t="shared" si="40"/>
        <v>130000</v>
      </c>
      <c r="BR137" s="59">
        <f t="shared" si="40"/>
        <v>136600</v>
      </c>
      <c r="BS137" s="165">
        <f>(BR137+BT137)/2</f>
        <v>163050</v>
      </c>
      <c r="BT137" s="59">
        <f t="shared" si="40"/>
        <v>189500</v>
      </c>
      <c r="BU137" s="59">
        <f t="shared" si="40"/>
        <v>198900</v>
      </c>
      <c r="BV137" s="59">
        <f t="shared" si="40"/>
        <v>241700</v>
      </c>
      <c r="BW137" s="59">
        <v>332700</v>
      </c>
      <c r="BX137" s="59"/>
      <c r="BY137" s="59"/>
      <c r="BZ137" s="59"/>
      <c r="CA137" s="59"/>
    </row>
    <row r="138" spans="1:79" s="30" customFormat="1" x14ac:dyDescent="0.55000000000000004">
      <c r="A138" s="82"/>
      <c r="C138" s="84" t="s">
        <v>368</v>
      </c>
      <c r="D138" s="87"/>
      <c r="J138" s="59"/>
      <c r="K138" s="59"/>
      <c r="L138" s="59"/>
      <c r="M138" s="59"/>
      <c r="N138" s="59"/>
      <c r="O138" s="59"/>
      <c r="P138" s="59"/>
      <c r="Q138" s="59"/>
      <c r="R138" s="59"/>
      <c r="S138" s="59"/>
      <c r="T138" s="59"/>
      <c r="U138" s="59"/>
      <c r="V138" s="59"/>
      <c r="W138" s="59"/>
      <c r="X138" s="59"/>
      <c r="Y138" s="59"/>
      <c r="Z138" s="59"/>
      <c r="AA138" s="59"/>
      <c r="AB138" s="59"/>
      <c r="AC138" s="165">
        <f t="shared" ref="AC138:AN138" si="41">AC137-AC139</f>
        <v>17.919999999999998</v>
      </c>
      <c r="AD138" s="165">
        <f t="shared" si="41"/>
        <v>26.4</v>
      </c>
      <c r="AE138" s="165">
        <f t="shared" si="41"/>
        <v>35.200000000000003</v>
      </c>
      <c r="AF138" s="165">
        <f t="shared" si="41"/>
        <v>49.6</v>
      </c>
      <c r="AG138" s="165">
        <f t="shared" si="41"/>
        <v>70.400000000000006</v>
      </c>
      <c r="AH138" s="165">
        <f t="shared" si="41"/>
        <v>62.4</v>
      </c>
      <c r="AI138" s="165">
        <f t="shared" si="41"/>
        <v>101.6</v>
      </c>
      <c r="AJ138" s="165">
        <f t="shared" si="41"/>
        <v>139.19999999999999</v>
      </c>
      <c r="AK138" s="165">
        <f t="shared" si="41"/>
        <v>208</v>
      </c>
      <c r="AL138" s="165">
        <f t="shared" si="41"/>
        <v>197.6</v>
      </c>
      <c r="AM138" s="165">
        <f t="shared" si="41"/>
        <v>395.2</v>
      </c>
      <c r="AN138" s="165">
        <f t="shared" si="41"/>
        <v>584</v>
      </c>
      <c r="AO138" s="165">
        <f>AO137-AO139</f>
        <v>580.79999999999995</v>
      </c>
      <c r="AP138" s="59">
        <v>523</v>
      </c>
      <c r="AQ138" s="59">
        <v>617</v>
      </c>
      <c r="AR138" s="59">
        <v>2337</v>
      </c>
      <c r="AS138" s="59">
        <v>780</v>
      </c>
      <c r="AT138" s="59">
        <v>1437</v>
      </c>
      <c r="AU138" s="59">
        <v>1826</v>
      </c>
      <c r="AV138" s="59">
        <v>2203</v>
      </c>
      <c r="AW138" s="59">
        <v>2319</v>
      </c>
      <c r="AX138" s="59">
        <v>3202</v>
      </c>
      <c r="AY138" s="59">
        <v>4428</v>
      </c>
      <c r="AZ138" s="68">
        <v>6335</v>
      </c>
      <c r="BA138" s="59">
        <v>6709</v>
      </c>
      <c r="BB138" s="59">
        <v>9109</v>
      </c>
      <c r="BC138" s="59">
        <v>11419</v>
      </c>
      <c r="BD138" s="59">
        <v>10561</v>
      </c>
      <c r="BE138" s="59">
        <v>15401</v>
      </c>
      <c r="BF138" s="59">
        <v>18891</v>
      </c>
      <c r="BG138" s="59">
        <v>19546</v>
      </c>
      <c r="BH138" s="165">
        <f>BG138*($BJ138/$BG138)^(1/3)</f>
        <v>28948.751487485759</v>
      </c>
      <c r="BI138" s="165">
        <f>BH138*($BJ138/$BG138)^(1/3)</f>
        <v>42874.767864740046</v>
      </c>
      <c r="BJ138" s="59">
        <v>63500</v>
      </c>
      <c r="BK138" s="59">
        <v>66700</v>
      </c>
      <c r="BL138" s="59">
        <v>74000</v>
      </c>
      <c r="BM138" s="173">
        <v>78500</v>
      </c>
      <c r="BN138" s="59">
        <v>89200</v>
      </c>
      <c r="BO138" s="59">
        <v>99700</v>
      </c>
      <c r="BP138" s="173">
        <v>117900</v>
      </c>
      <c r="BQ138" s="173">
        <v>130000</v>
      </c>
      <c r="BR138" s="173">
        <v>136600</v>
      </c>
      <c r="BS138" s="165">
        <f>(BR138+BT138)/2</f>
        <v>163050</v>
      </c>
      <c r="BT138" s="173">
        <v>189500</v>
      </c>
      <c r="BU138" s="59">
        <v>198900</v>
      </c>
      <c r="BV138" s="59">
        <v>241700</v>
      </c>
      <c r="BW138" s="59">
        <v>332700</v>
      </c>
      <c r="BX138" s="59"/>
      <c r="BY138" s="59"/>
      <c r="BZ138" s="59"/>
      <c r="CA138" s="59"/>
    </row>
    <row r="139" spans="1:79" s="30" customFormat="1" x14ac:dyDescent="0.55000000000000004">
      <c r="A139" s="82"/>
      <c r="C139" s="84" t="s">
        <v>370</v>
      </c>
      <c r="D139" s="87"/>
      <c r="J139" s="59"/>
      <c r="K139" s="59"/>
      <c r="L139" s="59"/>
      <c r="M139" s="59"/>
      <c r="N139" s="59"/>
      <c r="O139" s="59"/>
      <c r="P139" s="59"/>
      <c r="Q139" s="59"/>
      <c r="R139" s="59"/>
      <c r="S139" s="59"/>
      <c r="T139" s="59"/>
      <c r="U139" s="59"/>
      <c r="V139" s="59"/>
      <c r="W139" s="59"/>
      <c r="X139" s="59"/>
      <c r="Y139" s="59"/>
      <c r="Z139" s="59"/>
      <c r="AA139" s="59"/>
      <c r="AB139" s="59"/>
      <c r="AC139" s="165">
        <f t="shared" ref="AC139:AN139" si="42">AC137*20%</f>
        <v>4.4799999999999995</v>
      </c>
      <c r="AD139" s="165">
        <f t="shared" si="42"/>
        <v>6.6000000000000005</v>
      </c>
      <c r="AE139" s="165">
        <f t="shared" si="42"/>
        <v>8.8000000000000007</v>
      </c>
      <c r="AF139" s="165">
        <f t="shared" si="42"/>
        <v>12.4</v>
      </c>
      <c r="AG139" s="165">
        <f t="shared" si="42"/>
        <v>17.600000000000001</v>
      </c>
      <c r="AH139" s="165">
        <f t="shared" si="42"/>
        <v>15.600000000000001</v>
      </c>
      <c r="AI139" s="165">
        <f t="shared" si="42"/>
        <v>25.400000000000002</v>
      </c>
      <c r="AJ139" s="165">
        <f t="shared" si="42"/>
        <v>34.800000000000004</v>
      </c>
      <c r="AK139" s="165">
        <f t="shared" si="42"/>
        <v>52</v>
      </c>
      <c r="AL139" s="165">
        <f t="shared" si="42"/>
        <v>49.400000000000006</v>
      </c>
      <c r="AM139" s="165">
        <f t="shared" si="42"/>
        <v>98.800000000000011</v>
      </c>
      <c r="AN139" s="165">
        <f t="shared" si="42"/>
        <v>146</v>
      </c>
      <c r="AO139" s="165">
        <f>AO137*20%</f>
        <v>145.20000000000002</v>
      </c>
      <c r="AP139" s="59">
        <v>386</v>
      </c>
      <c r="AQ139" s="59">
        <v>719</v>
      </c>
      <c r="AR139" s="59">
        <v>816</v>
      </c>
      <c r="AS139" s="59">
        <v>329</v>
      </c>
      <c r="AT139" s="59">
        <v>513</v>
      </c>
      <c r="AU139" s="59">
        <v>482</v>
      </c>
      <c r="AV139" s="59">
        <v>354</v>
      </c>
      <c r="AW139" s="59">
        <v>424</v>
      </c>
      <c r="AX139" s="59">
        <v>457</v>
      </c>
      <c r="AY139" s="59">
        <v>551</v>
      </c>
      <c r="AZ139" s="68">
        <v>865</v>
      </c>
      <c r="BA139" s="59">
        <v>928</v>
      </c>
      <c r="BB139" s="59">
        <v>966</v>
      </c>
      <c r="BC139" s="59">
        <v>153</v>
      </c>
      <c r="BD139" s="59">
        <v>2259</v>
      </c>
      <c r="BE139" s="59">
        <v>2819</v>
      </c>
      <c r="BF139" s="59">
        <v>3198</v>
      </c>
      <c r="BG139" s="59">
        <v>3206</v>
      </c>
      <c r="BH139" s="165"/>
      <c r="BI139" s="59"/>
      <c r="BJ139" s="59"/>
      <c r="BK139" s="59"/>
      <c r="BL139" s="59"/>
      <c r="BM139" s="59"/>
      <c r="BN139" s="59"/>
      <c r="BO139" s="59"/>
      <c r="BP139" s="165"/>
      <c r="BQ139" s="59"/>
      <c r="BR139" s="59"/>
      <c r="BS139" s="165"/>
      <c r="BT139" s="165"/>
      <c r="BU139" s="59"/>
      <c r="BV139" s="59"/>
      <c r="BW139" s="59"/>
      <c r="BX139" s="59"/>
      <c r="BY139" s="59"/>
      <c r="BZ139" s="59"/>
      <c r="CA139" s="59"/>
    </row>
    <row r="140" spans="1:79" s="30" customFormat="1" x14ac:dyDescent="0.55000000000000004">
      <c r="C140" s="87" t="s">
        <v>140</v>
      </c>
      <c r="D140" s="87"/>
      <c r="J140" s="59"/>
      <c r="K140" s="59"/>
      <c r="L140" s="59"/>
      <c r="M140" s="59"/>
      <c r="N140" s="59"/>
      <c r="O140" s="59"/>
      <c r="P140" s="59"/>
      <c r="Q140" s="59"/>
      <c r="R140" s="59"/>
      <c r="S140" s="59"/>
      <c r="T140" s="59"/>
      <c r="U140" s="59"/>
      <c r="V140" s="59"/>
      <c r="W140" s="59"/>
      <c r="X140" s="59"/>
      <c r="Y140" s="59"/>
      <c r="Z140" s="59"/>
      <c r="AA140" s="59"/>
      <c r="AB140" s="59"/>
      <c r="AC140" s="59">
        <v>128</v>
      </c>
      <c r="AD140" s="59">
        <v>168</v>
      </c>
      <c r="AE140" s="59">
        <v>176</v>
      </c>
      <c r="AF140" s="59">
        <v>181</v>
      </c>
      <c r="AG140" s="59">
        <v>194</v>
      </c>
      <c r="AH140" s="59">
        <v>221</v>
      </c>
      <c r="AI140" s="59">
        <v>289</v>
      </c>
      <c r="AJ140" s="59">
        <v>337</v>
      </c>
      <c r="AK140" s="59">
        <v>379</v>
      </c>
      <c r="AL140" s="59">
        <v>440</v>
      </c>
      <c r="AM140" s="59">
        <v>544</v>
      </c>
      <c r="AN140" s="59">
        <v>757</v>
      </c>
      <c r="AO140" s="59">
        <v>842</v>
      </c>
      <c r="AP140" s="59">
        <v>1007</v>
      </c>
      <c r="AQ140" s="59">
        <v>1327</v>
      </c>
      <c r="AR140" s="59">
        <v>1575</v>
      </c>
      <c r="AS140" s="59">
        <v>1613</v>
      </c>
      <c r="AT140" s="59">
        <v>1738</v>
      </c>
      <c r="AU140" s="59">
        <v>2259</v>
      </c>
      <c r="AV140" s="59">
        <v>2526</v>
      </c>
      <c r="AW140" s="59">
        <v>2890</v>
      </c>
      <c r="AX140" s="59">
        <v>3106</v>
      </c>
      <c r="AY140" s="59">
        <v>2226</v>
      </c>
      <c r="AZ140" s="68"/>
      <c r="BA140" s="59"/>
      <c r="BB140" s="59"/>
      <c r="BC140" s="59"/>
      <c r="BD140" s="59"/>
      <c r="BE140" s="59"/>
      <c r="BF140" s="59"/>
      <c r="BG140" s="59"/>
      <c r="BH140" s="165"/>
      <c r="BI140" s="59"/>
      <c r="BJ140" s="59"/>
      <c r="BK140" s="59"/>
      <c r="BL140" s="59"/>
      <c r="BM140" s="59"/>
      <c r="BN140" s="59"/>
      <c r="BO140" s="59"/>
      <c r="BP140" s="165"/>
      <c r="BQ140" s="59"/>
      <c r="BR140" s="59"/>
      <c r="BS140" s="165"/>
      <c r="BT140" s="165"/>
      <c r="BU140" s="59"/>
      <c r="BV140" s="59"/>
      <c r="BW140" s="59"/>
      <c r="BX140" s="59"/>
      <c r="BY140" s="59"/>
      <c r="BZ140" s="59"/>
      <c r="CA140" s="59"/>
    </row>
    <row r="141" spans="1:79" x14ac:dyDescent="0.5">
      <c r="Y141" s="113"/>
    </row>
    <row r="142" spans="1:79" s="202" customFormat="1" ht="12.75" customHeight="1" x14ac:dyDescent="0.5">
      <c r="C142" s="203" t="s">
        <v>409</v>
      </c>
    </row>
    <row r="143" spans="1:79" s="202" customFormat="1" ht="12.75" customHeight="1" x14ac:dyDescent="0.5">
      <c r="A143" s="204"/>
      <c r="C143" s="204" t="s">
        <v>131</v>
      </c>
      <c r="Z143" s="208"/>
      <c r="AC143" s="205">
        <f>AC128</f>
        <v>840</v>
      </c>
      <c r="AD143" s="205">
        <f t="shared" ref="AD143:BW143" si="43">AD128</f>
        <v>980</v>
      </c>
      <c r="AE143" s="205">
        <f t="shared" si="43"/>
        <v>1119</v>
      </c>
      <c r="AF143" s="205">
        <f t="shared" si="43"/>
        <v>1274</v>
      </c>
      <c r="AG143" s="205">
        <f t="shared" si="43"/>
        <v>1410</v>
      </c>
      <c r="AH143" s="205">
        <f t="shared" si="43"/>
        <v>1646</v>
      </c>
      <c r="AI143" s="205">
        <f t="shared" si="43"/>
        <v>1891</v>
      </c>
      <c r="AJ143" s="205">
        <f t="shared" si="43"/>
        <v>2275</v>
      </c>
      <c r="AK143" s="205">
        <f t="shared" si="43"/>
        <v>2421</v>
      </c>
      <c r="AL143" s="205">
        <f t="shared" si="43"/>
        <v>3081</v>
      </c>
      <c r="AM143" s="205">
        <f t="shared" si="43"/>
        <v>4865</v>
      </c>
      <c r="AN143" s="205">
        <f t="shared" si="43"/>
        <v>5974</v>
      </c>
      <c r="AO143" s="205">
        <f t="shared" si="43"/>
        <v>5628</v>
      </c>
      <c r="AP143" s="205">
        <f t="shared" si="43"/>
        <v>7060</v>
      </c>
      <c r="AQ143" s="205">
        <f t="shared" si="43"/>
        <v>8695</v>
      </c>
      <c r="AR143" s="205">
        <f t="shared" si="43"/>
        <v>12476</v>
      </c>
      <c r="AS143" s="205">
        <f t="shared" si="43"/>
        <v>14651</v>
      </c>
      <c r="AT143" s="205">
        <f t="shared" si="43"/>
        <v>14344</v>
      </c>
      <c r="AU143" s="205">
        <f t="shared" si="43"/>
        <v>19176</v>
      </c>
      <c r="AV143" s="205">
        <f t="shared" si="43"/>
        <v>18421</v>
      </c>
      <c r="AW143" s="205">
        <f t="shared" si="43"/>
        <v>20907</v>
      </c>
      <c r="AX143" s="205">
        <f t="shared" si="43"/>
        <v>25965</v>
      </c>
      <c r="AY143" s="205">
        <f t="shared" si="43"/>
        <v>32373</v>
      </c>
      <c r="AZ143" s="205">
        <f t="shared" si="43"/>
        <v>46978</v>
      </c>
      <c r="BA143" s="205">
        <f t="shared" si="43"/>
        <v>67972</v>
      </c>
      <c r="BB143" s="205">
        <f t="shared" si="43"/>
        <v>93944</v>
      </c>
      <c r="BC143" s="205">
        <f t="shared" si="43"/>
        <v>116243</v>
      </c>
      <c r="BD143" s="205">
        <f t="shared" si="43"/>
        <v>151875</v>
      </c>
      <c r="BE143" s="205">
        <f t="shared" si="43"/>
        <v>194900</v>
      </c>
      <c r="BF143" s="205">
        <f t="shared" si="43"/>
        <v>301202</v>
      </c>
      <c r="BG143" s="205">
        <f t="shared" si="43"/>
        <v>358700</v>
      </c>
      <c r="BH143" s="205">
        <f t="shared" si="43"/>
        <v>487900</v>
      </c>
      <c r="BI143" s="205">
        <f t="shared" si="43"/>
        <v>596000</v>
      </c>
      <c r="BJ143" s="205">
        <f t="shared" si="43"/>
        <v>638600</v>
      </c>
      <c r="BK143" s="205">
        <f t="shared" si="43"/>
        <v>808640</v>
      </c>
      <c r="BL143" s="205">
        <f t="shared" si="43"/>
        <v>1021510</v>
      </c>
      <c r="BM143" s="205">
        <f t="shared" si="43"/>
        <v>1298900</v>
      </c>
      <c r="BN143" s="205">
        <f t="shared" si="43"/>
        <v>1338300</v>
      </c>
      <c r="BO143" s="205">
        <f t="shared" si="43"/>
        <v>1556300</v>
      </c>
      <c r="BP143" s="205">
        <f t="shared" si="43"/>
        <v>1989500</v>
      </c>
      <c r="BQ143" s="205">
        <f t="shared" si="43"/>
        <v>2531500</v>
      </c>
      <c r="BR143" s="205">
        <f t="shared" si="43"/>
        <v>3248000</v>
      </c>
      <c r="BS143" s="205">
        <f t="shared" si="43"/>
        <v>3873000</v>
      </c>
      <c r="BT143" s="205">
        <f t="shared" si="43"/>
        <v>4800000</v>
      </c>
      <c r="BU143" s="205">
        <f t="shared" si="43"/>
        <v>5217000</v>
      </c>
      <c r="BV143" s="205">
        <f t="shared" si="43"/>
        <v>6907000</v>
      </c>
      <c r="BW143" s="205">
        <f t="shared" si="43"/>
        <v>8312000</v>
      </c>
      <c r="BX143" s="208"/>
      <c r="BY143" s="208"/>
      <c r="BZ143" s="208"/>
      <c r="CA143" s="208"/>
    </row>
    <row r="144" spans="1:79" s="202" customFormat="1" ht="12.75" customHeight="1" x14ac:dyDescent="0.5">
      <c r="A144" s="206"/>
      <c r="C144" s="206" t="s">
        <v>133</v>
      </c>
      <c r="Z144" s="208"/>
      <c r="AC144" s="205">
        <f>AC131</f>
        <v>239.2</v>
      </c>
      <c r="AD144" s="205">
        <f t="shared" ref="AD144:BW144" si="44">AD131</f>
        <v>284.3</v>
      </c>
      <c r="AE144" s="205">
        <f t="shared" si="44"/>
        <v>294.3</v>
      </c>
      <c r="AF144" s="205">
        <f t="shared" si="44"/>
        <v>308.89999999999998</v>
      </c>
      <c r="AG144" s="205">
        <f t="shared" si="44"/>
        <v>344.7</v>
      </c>
      <c r="AH144" s="205">
        <f t="shared" si="44"/>
        <v>343</v>
      </c>
      <c r="AI144" s="205">
        <f t="shared" si="44"/>
        <v>396</v>
      </c>
      <c r="AJ144" s="205">
        <f t="shared" si="44"/>
        <v>515</v>
      </c>
      <c r="AK144" s="205">
        <f t="shared" si="44"/>
        <v>588</v>
      </c>
      <c r="AL144" s="205">
        <f t="shared" si="44"/>
        <v>765</v>
      </c>
      <c r="AM144" s="205">
        <f t="shared" si="44"/>
        <v>1100</v>
      </c>
      <c r="AN144" s="205">
        <f t="shared" si="44"/>
        <v>1640</v>
      </c>
      <c r="AO144" s="205">
        <f t="shared" si="44"/>
        <v>1730</v>
      </c>
      <c r="AP144" s="205">
        <f t="shared" si="44"/>
        <v>1955</v>
      </c>
      <c r="AQ144" s="205">
        <f t="shared" si="44"/>
        <v>2133</v>
      </c>
      <c r="AR144" s="205">
        <f t="shared" si="44"/>
        <v>2435</v>
      </c>
      <c r="AS144" s="205">
        <f t="shared" si="44"/>
        <v>2533</v>
      </c>
      <c r="AT144" s="205">
        <f t="shared" si="44"/>
        <v>2819</v>
      </c>
      <c r="AU144" s="205">
        <f t="shared" si="44"/>
        <v>3765</v>
      </c>
      <c r="AV144" s="205">
        <f t="shared" si="44"/>
        <v>4227</v>
      </c>
      <c r="AW144" s="205">
        <f t="shared" si="44"/>
        <v>4661</v>
      </c>
      <c r="AX144" s="205">
        <f t="shared" si="44"/>
        <v>6640</v>
      </c>
      <c r="AY144" s="205">
        <f t="shared" si="44"/>
        <v>8015</v>
      </c>
      <c r="AZ144" s="205">
        <f t="shared" si="44"/>
        <v>9004</v>
      </c>
      <c r="BA144" s="205">
        <f t="shared" si="44"/>
        <v>11920</v>
      </c>
      <c r="BB144" s="205">
        <f t="shared" si="44"/>
        <v>20128</v>
      </c>
      <c r="BC144" s="205">
        <f t="shared" si="44"/>
        <v>26834</v>
      </c>
      <c r="BD144" s="205">
        <f t="shared" si="44"/>
        <v>30439</v>
      </c>
      <c r="BE144" s="205">
        <f t="shared" si="44"/>
        <v>37500</v>
      </c>
      <c r="BF144" s="205">
        <f t="shared" si="44"/>
        <v>57400</v>
      </c>
      <c r="BG144" s="205">
        <f t="shared" si="44"/>
        <v>77900</v>
      </c>
      <c r="BH144" s="205">
        <f t="shared" si="44"/>
        <v>111500</v>
      </c>
      <c r="BI144" s="205">
        <f t="shared" si="44"/>
        <v>156100</v>
      </c>
      <c r="BJ144" s="205">
        <f t="shared" si="44"/>
        <v>199200</v>
      </c>
      <c r="BK144" s="205">
        <f t="shared" si="44"/>
        <v>218840</v>
      </c>
      <c r="BL144" s="205">
        <f t="shared" si="44"/>
        <v>220480</v>
      </c>
      <c r="BM144" s="205">
        <f t="shared" si="44"/>
        <v>285300</v>
      </c>
      <c r="BN144" s="205">
        <f t="shared" si="44"/>
        <v>308100</v>
      </c>
      <c r="BO144" s="205">
        <f t="shared" si="44"/>
        <v>342000</v>
      </c>
      <c r="BP144" s="205">
        <f t="shared" si="44"/>
        <v>397800</v>
      </c>
      <c r="BQ144" s="205">
        <f t="shared" si="44"/>
        <v>464100</v>
      </c>
      <c r="BR144" s="205">
        <f t="shared" si="44"/>
        <v>551000</v>
      </c>
      <c r="BS144" s="205">
        <f t="shared" si="44"/>
        <v>657000</v>
      </c>
      <c r="BT144" s="205">
        <f t="shared" si="44"/>
        <v>1004000</v>
      </c>
      <c r="BU144" s="205">
        <f t="shared" si="44"/>
        <v>1135000</v>
      </c>
      <c r="BV144" s="205">
        <f t="shared" si="44"/>
        <v>1609000</v>
      </c>
      <c r="BW144" s="205">
        <f t="shared" si="44"/>
        <v>1723000</v>
      </c>
      <c r="BX144" s="208"/>
      <c r="BY144" s="208"/>
      <c r="BZ144" s="208"/>
      <c r="CA144" s="208"/>
    </row>
    <row r="145" spans="1:145" s="202" customFormat="1" ht="12.75" customHeight="1" x14ac:dyDescent="0.5">
      <c r="A145" s="206"/>
      <c r="C145" s="206" t="s">
        <v>135</v>
      </c>
      <c r="Z145" s="208"/>
      <c r="AC145" s="205">
        <f>AC143-AC144-AC146-AC147-AC148</f>
        <v>406.38</v>
      </c>
      <c r="AD145" s="205">
        <f t="shared" ref="AD145:BW145" si="45">AD143-AD144-AD146-AD147-AD148</f>
        <v>422.50000000000011</v>
      </c>
      <c r="AE145" s="205">
        <f t="shared" si="45"/>
        <v>517.90000000000009</v>
      </c>
      <c r="AF145" s="205">
        <f t="shared" si="45"/>
        <v>575.5</v>
      </c>
      <c r="AG145" s="205">
        <f t="shared" si="45"/>
        <v>589</v>
      </c>
      <c r="AH145" s="205">
        <f t="shared" si="45"/>
        <v>728.80000000000007</v>
      </c>
      <c r="AI145" s="205">
        <f t="shared" si="45"/>
        <v>788.4</v>
      </c>
      <c r="AJ145" s="205">
        <f t="shared" si="45"/>
        <v>832.8</v>
      </c>
      <c r="AK145" s="205">
        <f t="shared" si="45"/>
        <v>909</v>
      </c>
      <c r="AL145" s="205">
        <f t="shared" si="45"/>
        <v>998.4</v>
      </c>
      <c r="AM145" s="205">
        <f t="shared" si="45"/>
        <v>1542.8</v>
      </c>
      <c r="AN145" s="205">
        <f t="shared" si="45"/>
        <v>1834</v>
      </c>
      <c r="AO145" s="205">
        <f t="shared" si="45"/>
        <v>1394.2</v>
      </c>
      <c r="AP145" s="205">
        <f t="shared" si="45"/>
        <v>2043</v>
      </c>
      <c r="AQ145" s="205">
        <f t="shared" si="45"/>
        <v>2905</v>
      </c>
      <c r="AR145" s="205">
        <f t="shared" si="45"/>
        <v>3559</v>
      </c>
      <c r="AS145" s="205">
        <f t="shared" si="45"/>
        <v>6025</v>
      </c>
      <c r="AT145" s="205">
        <f t="shared" si="45"/>
        <v>4373</v>
      </c>
      <c r="AU145" s="205">
        <f t="shared" si="45"/>
        <v>7612</v>
      </c>
      <c r="AV145" s="205">
        <f t="shared" si="45"/>
        <v>6367</v>
      </c>
      <c r="AW145" s="205">
        <f t="shared" si="45"/>
        <v>7649</v>
      </c>
      <c r="AX145" s="205">
        <f t="shared" si="45"/>
        <v>8193</v>
      </c>
      <c r="AY145" s="205">
        <f t="shared" si="45"/>
        <v>11654</v>
      </c>
      <c r="AZ145" s="205">
        <f t="shared" si="45"/>
        <v>13327</v>
      </c>
      <c r="BA145" s="205">
        <f t="shared" si="45"/>
        <v>22818</v>
      </c>
      <c r="BB145" s="205">
        <f t="shared" si="45"/>
        <v>34183</v>
      </c>
      <c r="BC145" s="205">
        <f t="shared" si="45"/>
        <v>38986</v>
      </c>
      <c r="BD145" s="205">
        <f t="shared" si="45"/>
        <v>74274</v>
      </c>
      <c r="BE145" s="205">
        <f t="shared" si="45"/>
        <v>85699</v>
      </c>
      <c r="BF145" s="205">
        <f t="shared" si="45"/>
        <v>132609</v>
      </c>
      <c r="BG145" s="205">
        <f t="shared" si="45"/>
        <v>135054</v>
      </c>
      <c r="BH145" s="205">
        <f t="shared" si="45"/>
        <v>171751.24851251423</v>
      </c>
      <c r="BI145" s="205">
        <f t="shared" si="45"/>
        <v>163025.23213525995</v>
      </c>
      <c r="BJ145" s="205">
        <f t="shared" si="45"/>
        <v>154500</v>
      </c>
      <c r="BK145" s="205">
        <f t="shared" si="45"/>
        <v>209800</v>
      </c>
      <c r="BL145" s="205">
        <f t="shared" si="45"/>
        <v>383180</v>
      </c>
      <c r="BM145" s="205">
        <f t="shared" si="45"/>
        <v>448200</v>
      </c>
      <c r="BN145" s="205">
        <f t="shared" si="45"/>
        <v>526600</v>
      </c>
      <c r="BO145" s="205">
        <f t="shared" si="45"/>
        <v>702200</v>
      </c>
      <c r="BP145" s="205">
        <f t="shared" si="45"/>
        <v>873100</v>
      </c>
      <c r="BQ145" s="205">
        <f t="shared" si="45"/>
        <v>1171300</v>
      </c>
      <c r="BR145" s="205">
        <f t="shared" si="45"/>
        <v>1468400</v>
      </c>
      <c r="BS145" s="205">
        <f t="shared" si="45"/>
        <v>1880950</v>
      </c>
      <c r="BT145" s="205">
        <f t="shared" si="45"/>
        <v>1886500</v>
      </c>
      <c r="BU145" s="205">
        <f t="shared" si="45"/>
        <v>1799100</v>
      </c>
      <c r="BV145" s="205">
        <f t="shared" si="45"/>
        <v>2587300</v>
      </c>
      <c r="BW145" s="205">
        <f t="shared" si="45"/>
        <v>3396300</v>
      </c>
      <c r="BX145" s="208"/>
      <c r="BY145" s="209"/>
      <c r="BZ145" s="208"/>
      <c r="CA145" s="208"/>
    </row>
    <row r="146" spans="1:145" s="202" customFormat="1" ht="12.75" customHeight="1" x14ac:dyDescent="0.5">
      <c r="A146" s="206"/>
      <c r="C146" s="206" t="s">
        <v>280</v>
      </c>
      <c r="AC146" s="205">
        <f>AC132</f>
        <v>31.5</v>
      </c>
      <c r="AD146" s="205">
        <f t="shared" ref="AD146:BW146" si="46">AD132</f>
        <v>42.8</v>
      </c>
      <c r="AE146" s="205">
        <f t="shared" si="46"/>
        <v>40.6</v>
      </c>
      <c r="AF146" s="205">
        <f t="shared" si="46"/>
        <v>46</v>
      </c>
      <c r="AG146" s="205">
        <f t="shared" si="46"/>
        <v>60.9</v>
      </c>
      <c r="AH146" s="205">
        <f t="shared" si="46"/>
        <v>51.8</v>
      </c>
      <c r="AI146" s="205">
        <f t="shared" si="46"/>
        <v>69</v>
      </c>
      <c r="AJ146" s="205">
        <f t="shared" si="46"/>
        <v>96</v>
      </c>
      <c r="AK146" s="205">
        <f t="shared" si="46"/>
        <v>118</v>
      </c>
      <c r="AL146" s="205">
        <f t="shared" si="46"/>
        <v>142</v>
      </c>
      <c r="AM146" s="205">
        <f t="shared" si="46"/>
        <v>163</v>
      </c>
      <c r="AN146" s="205">
        <f t="shared" si="46"/>
        <v>214</v>
      </c>
      <c r="AO146" s="205">
        <f t="shared" si="46"/>
        <v>303</v>
      </c>
      <c r="AP146" s="205">
        <f t="shared" si="46"/>
        <v>356</v>
      </c>
      <c r="AQ146" s="205">
        <f t="shared" si="46"/>
        <v>422</v>
      </c>
      <c r="AR146" s="205">
        <f t="shared" si="46"/>
        <v>581</v>
      </c>
      <c r="AS146" s="205">
        <f t="shared" si="46"/>
        <v>823</v>
      </c>
      <c r="AT146" s="205">
        <f t="shared" si="46"/>
        <v>1025</v>
      </c>
      <c r="AU146" s="205">
        <f t="shared" si="46"/>
        <v>1276</v>
      </c>
      <c r="AV146" s="205">
        <f t="shared" si="46"/>
        <v>1637</v>
      </c>
      <c r="AW146" s="205">
        <f t="shared" si="46"/>
        <v>2006</v>
      </c>
      <c r="AX146" s="205">
        <f t="shared" si="46"/>
        <v>2519</v>
      </c>
      <c r="AY146" s="205">
        <f t="shared" si="46"/>
        <v>2815</v>
      </c>
      <c r="AZ146" s="205">
        <f t="shared" si="46"/>
        <v>6480</v>
      </c>
      <c r="BA146" s="205">
        <f t="shared" si="46"/>
        <v>10449</v>
      </c>
      <c r="BB146" s="205">
        <f t="shared" si="46"/>
        <v>14649</v>
      </c>
      <c r="BC146" s="205">
        <f t="shared" si="46"/>
        <v>16628</v>
      </c>
      <c r="BD146" s="205">
        <f t="shared" si="46"/>
        <v>20101</v>
      </c>
      <c r="BE146" s="205">
        <f t="shared" si="46"/>
        <v>23700</v>
      </c>
      <c r="BF146" s="205">
        <f t="shared" si="46"/>
        <v>31400</v>
      </c>
      <c r="BG146" s="205">
        <f t="shared" si="46"/>
        <v>51500</v>
      </c>
      <c r="BH146" s="205">
        <f t="shared" si="46"/>
        <v>89700</v>
      </c>
      <c r="BI146" s="205">
        <f t="shared" si="46"/>
        <v>112600</v>
      </c>
      <c r="BJ146" s="205">
        <f t="shared" si="46"/>
        <v>111100</v>
      </c>
      <c r="BK146" s="205">
        <f t="shared" si="46"/>
        <v>115900</v>
      </c>
      <c r="BL146" s="205">
        <f t="shared" si="46"/>
        <v>95900</v>
      </c>
      <c r="BM146" s="205">
        <f t="shared" si="46"/>
        <v>127000</v>
      </c>
      <c r="BN146" s="205">
        <f t="shared" si="46"/>
        <v>128100</v>
      </c>
      <c r="BO146" s="205">
        <f t="shared" si="46"/>
        <v>121100</v>
      </c>
      <c r="BP146" s="205">
        <f t="shared" si="46"/>
        <v>99800</v>
      </c>
      <c r="BQ146" s="205">
        <f t="shared" si="46"/>
        <v>121700</v>
      </c>
      <c r="BR146" s="205">
        <f t="shared" si="46"/>
        <v>143000</v>
      </c>
      <c r="BS146" s="205">
        <f t="shared" si="46"/>
        <v>219000</v>
      </c>
      <c r="BT146" s="205">
        <f t="shared" si="46"/>
        <v>247000</v>
      </c>
      <c r="BU146" s="205">
        <f t="shared" si="46"/>
        <v>265000</v>
      </c>
      <c r="BV146" s="205">
        <f t="shared" si="46"/>
        <v>243000</v>
      </c>
      <c r="BW146" s="205">
        <f t="shared" si="46"/>
        <v>249000</v>
      </c>
    </row>
    <row r="147" spans="1:145" s="202" customFormat="1" ht="12.75" customHeight="1" x14ac:dyDescent="0.5">
      <c r="A147" s="206"/>
      <c r="C147" s="206" t="s">
        <v>141</v>
      </c>
      <c r="AC147" s="205">
        <f>AC137</f>
        <v>22.4</v>
      </c>
      <c r="AD147" s="205">
        <f t="shared" ref="AD147:BW147" si="47">AD137</f>
        <v>33</v>
      </c>
      <c r="AE147" s="205">
        <f t="shared" si="47"/>
        <v>44</v>
      </c>
      <c r="AF147" s="205">
        <f t="shared" si="47"/>
        <v>62</v>
      </c>
      <c r="AG147" s="205">
        <f t="shared" si="47"/>
        <v>88</v>
      </c>
      <c r="AH147" s="205">
        <f t="shared" si="47"/>
        <v>78</v>
      </c>
      <c r="AI147" s="205">
        <f t="shared" si="47"/>
        <v>127</v>
      </c>
      <c r="AJ147" s="205">
        <f t="shared" si="47"/>
        <v>174</v>
      </c>
      <c r="AK147" s="205">
        <f t="shared" si="47"/>
        <v>260</v>
      </c>
      <c r="AL147" s="205">
        <f t="shared" si="47"/>
        <v>247</v>
      </c>
      <c r="AM147" s="205">
        <f t="shared" si="47"/>
        <v>494</v>
      </c>
      <c r="AN147" s="205">
        <f t="shared" si="47"/>
        <v>730</v>
      </c>
      <c r="AO147" s="205">
        <f t="shared" si="47"/>
        <v>726</v>
      </c>
      <c r="AP147" s="205">
        <f t="shared" si="47"/>
        <v>909</v>
      </c>
      <c r="AQ147" s="205">
        <f t="shared" si="47"/>
        <v>1336</v>
      </c>
      <c r="AR147" s="205">
        <f t="shared" si="47"/>
        <v>3153</v>
      </c>
      <c r="AS147" s="205">
        <f t="shared" si="47"/>
        <v>1109</v>
      </c>
      <c r="AT147" s="205">
        <f t="shared" si="47"/>
        <v>2294</v>
      </c>
      <c r="AU147" s="205">
        <f t="shared" si="47"/>
        <v>2308</v>
      </c>
      <c r="AV147" s="205">
        <f t="shared" si="47"/>
        <v>2557</v>
      </c>
      <c r="AW147" s="205">
        <f t="shared" si="47"/>
        <v>2743</v>
      </c>
      <c r="AX147" s="205">
        <f t="shared" si="47"/>
        <v>3659</v>
      </c>
      <c r="AY147" s="205">
        <f t="shared" si="47"/>
        <v>4979</v>
      </c>
      <c r="AZ147" s="205">
        <f t="shared" si="47"/>
        <v>7200</v>
      </c>
      <c r="BA147" s="205">
        <f t="shared" si="47"/>
        <v>7637</v>
      </c>
      <c r="BB147" s="205">
        <f t="shared" si="47"/>
        <v>10075</v>
      </c>
      <c r="BC147" s="205">
        <f t="shared" si="47"/>
        <v>11572</v>
      </c>
      <c r="BD147" s="205">
        <f t="shared" si="47"/>
        <v>12820</v>
      </c>
      <c r="BE147" s="205">
        <f t="shared" si="47"/>
        <v>18220</v>
      </c>
      <c r="BF147" s="205">
        <f t="shared" si="47"/>
        <v>22089</v>
      </c>
      <c r="BG147" s="205">
        <f t="shared" si="47"/>
        <v>22752</v>
      </c>
      <c r="BH147" s="205">
        <f t="shared" si="47"/>
        <v>28948.751487485759</v>
      </c>
      <c r="BI147" s="205">
        <f t="shared" si="47"/>
        <v>42874.767864740046</v>
      </c>
      <c r="BJ147" s="205">
        <f t="shared" si="47"/>
        <v>63500</v>
      </c>
      <c r="BK147" s="205">
        <f t="shared" si="47"/>
        <v>66700</v>
      </c>
      <c r="BL147" s="205">
        <f t="shared" si="47"/>
        <v>74000</v>
      </c>
      <c r="BM147" s="205">
        <f t="shared" si="47"/>
        <v>78500</v>
      </c>
      <c r="BN147" s="205">
        <f t="shared" si="47"/>
        <v>89200</v>
      </c>
      <c r="BO147" s="205">
        <f t="shared" si="47"/>
        <v>99700</v>
      </c>
      <c r="BP147" s="205">
        <f t="shared" si="47"/>
        <v>117900</v>
      </c>
      <c r="BQ147" s="205">
        <f t="shared" si="47"/>
        <v>130000</v>
      </c>
      <c r="BR147" s="205">
        <f t="shared" si="47"/>
        <v>136600</v>
      </c>
      <c r="BS147" s="205">
        <f t="shared" si="47"/>
        <v>163050</v>
      </c>
      <c r="BT147" s="205">
        <f t="shared" si="47"/>
        <v>189500</v>
      </c>
      <c r="BU147" s="205">
        <f t="shared" si="47"/>
        <v>198900</v>
      </c>
      <c r="BV147" s="205">
        <f t="shared" si="47"/>
        <v>241700</v>
      </c>
      <c r="BW147" s="205">
        <f t="shared" si="47"/>
        <v>332700</v>
      </c>
    </row>
    <row r="148" spans="1:145" s="202" customFormat="1" ht="12.75" customHeight="1" x14ac:dyDescent="0.5">
      <c r="A148" s="206"/>
      <c r="C148" s="206" t="s">
        <v>138</v>
      </c>
      <c r="AC148" s="205">
        <f>AC134-AC139</f>
        <v>140.52000000000001</v>
      </c>
      <c r="AD148" s="205">
        <f t="shared" ref="AD148:BW148" si="48">AD134-AD139</f>
        <v>197.4</v>
      </c>
      <c r="AE148" s="205">
        <f t="shared" si="48"/>
        <v>222.2</v>
      </c>
      <c r="AF148" s="205">
        <f t="shared" si="48"/>
        <v>281.60000000000002</v>
      </c>
      <c r="AG148" s="205">
        <f t="shared" si="48"/>
        <v>327.39999999999998</v>
      </c>
      <c r="AH148" s="205">
        <f t="shared" si="48"/>
        <v>444.4</v>
      </c>
      <c r="AI148" s="205">
        <f t="shared" si="48"/>
        <v>510.6</v>
      </c>
      <c r="AJ148" s="205">
        <f t="shared" si="48"/>
        <v>657.2</v>
      </c>
      <c r="AK148" s="205">
        <f t="shared" si="48"/>
        <v>546</v>
      </c>
      <c r="AL148" s="205">
        <f t="shared" si="48"/>
        <v>928.6</v>
      </c>
      <c r="AM148" s="205">
        <f t="shared" si="48"/>
        <v>1565.2</v>
      </c>
      <c r="AN148" s="205">
        <f t="shared" si="48"/>
        <v>1556</v>
      </c>
      <c r="AO148" s="205">
        <f t="shared" si="48"/>
        <v>1474.8</v>
      </c>
      <c r="AP148" s="205">
        <f t="shared" si="48"/>
        <v>1797</v>
      </c>
      <c r="AQ148" s="205">
        <f t="shared" si="48"/>
        <v>1899</v>
      </c>
      <c r="AR148" s="205">
        <f t="shared" si="48"/>
        <v>2748</v>
      </c>
      <c r="AS148" s="205">
        <f t="shared" si="48"/>
        <v>4161</v>
      </c>
      <c r="AT148" s="205">
        <f t="shared" si="48"/>
        <v>3833</v>
      </c>
      <c r="AU148" s="205">
        <f t="shared" si="48"/>
        <v>4215</v>
      </c>
      <c r="AV148" s="205">
        <f t="shared" si="48"/>
        <v>3633</v>
      </c>
      <c r="AW148" s="205">
        <f t="shared" si="48"/>
        <v>3848</v>
      </c>
      <c r="AX148" s="205">
        <f t="shared" si="48"/>
        <v>4954</v>
      </c>
      <c r="AY148" s="205">
        <f t="shared" si="48"/>
        <v>4910</v>
      </c>
      <c r="AZ148" s="205">
        <f t="shared" si="48"/>
        <v>10967</v>
      </c>
      <c r="BA148" s="205">
        <f t="shared" si="48"/>
        <v>15148</v>
      </c>
      <c r="BB148" s="205">
        <f t="shared" si="48"/>
        <v>14909</v>
      </c>
      <c r="BC148" s="205">
        <f t="shared" si="48"/>
        <v>22223</v>
      </c>
      <c r="BD148" s="205">
        <f t="shared" si="48"/>
        <v>14241</v>
      </c>
      <c r="BE148" s="205">
        <f t="shared" si="48"/>
        <v>29781</v>
      </c>
      <c r="BF148" s="205">
        <f t="shared" si="48"/>
        <v>57704</v>
      </c>
      <c r="BG148" s="205">
        <f t="shared" si="48"/>
        <v>71494</v>
      </c>
      <c r="BH148" s="205">
        <f t="shared" si="48"/>
        <v>86000</v>
      </c>
      <c r="BI148" s="205">
        <f t="shared" si="48"/>
        <v>121400</v>
      </c>
      <c r="BJ148" s="205">
        <f t="shared" si="48"/>
        <v>110300</v>
      </c>
      <c r="BK148" s="205">
        <f t="shared" si="48"/>
        <v>197400</v>
      </c>
      <c r="BL148" s="205">
        <f t="shared" si="48"/>
        <v>247950</v>
      </c>
      <c r="BM148" s="205">
        <f t="shared" si="48"/>
        <v>359900</v>
      </c>
      <c r="BN148" s="205">
        <f t="shared" si="48"/>
        <v>286300</v>
      </c>
      <c r="BO148" s="205">
        <f t="shared" si="48"/>
        <v>291300</v>
      </c>
      <c r="BP148" s="205">
        <f t="shared" si="48"/>
        <v>500900</v>
      </c>
      <c r="BQ148" s="205">
        <f t="shared" si="48"/>
        <v>644400</v>
      </c>
      <c r="BR148" s="205">
        <f t="shared" si="48"/>
        <v>949000</v>
      </c>
      <c r="BS148" s="205">
        <f t="shared" si="48"/>
        <v>953000</v>
      </c>
      <c r="BT148" s="205">
        <f t="shared" si="48"/>
        <v>1473000</v>
      </c>
      <c r="BU148" s="205">
        <f t="shared" si="48"/>
        <v>1819000</v>
      </c>
      <c r="BV148" s="205">
        <f t="shared" si="48"/>
        <v>2226000</v>
      </c>
      <c r="BW148" s="205">
        <f t="shared" si="48"/>
        <v>2611000</v>
      </c>
    </row>
    <row r="149" spans="1:145" s="8" customFormat="1" ht="12.75" customHeight="1" x14ac:dyDescent="0.5">
      <c r="B149" s="81" t="s">
        <v>184</v>
      </c>
      <c r="C149" s="42" t="s">
        <v>142</v>
      </c>
      <c r="D149" s="42"/>
      <c r="W149" s="46"/>
      <c r="X149" s="46"/>
      <c r="Y149" s="46"/>
      <c r="Z149" s="117">
        <f t="shared" ref="Z149:AK149" si="49">Z84/Z150</f>
        <v>2.8324886939507708E-2</v>
      </c>
      <c r="AA149" s="117">
        <f t="shared" si="49"/>
        <v>3.1184585097512148E-2</v>
      </c>
      <c r="AB149" s="117">
        <f t="shared" si="49"/>
        <v>3.5034499365790235E-2</v>
      </c>
      <c r="AC149" s="117">
        <f t="shared" si="49"/>
        <v>2.8687133503513051E-2</v>
      </c>
      <c r="AD149" s="117">
        <f t="shared" si="49"/>
        <v>3.1547594142263186E-2</v>
      </c>
      <c r="AE149" s="117">
        <f t="shared" si="49"/>
        <v>3.1682253248787554E-2</v>
      </c>
      <c r="AF149" s="117">
        <f t="shared" si="49"/>
        <v>3.1772563202288398E-2</v>
      </c>
      <c r="AG149" s="117">
        <f t="shared" si="49"/>
        <v>3.2441048211664325E-2</v>
      </c>
      <c r="AH149" s="117">
        <f t="shared" si="49"/>
        <v>3.5488057085449783E-2</v>
      </c>
      <c r="AI149" s="117">
        <f t="shared" si="49"/>
        <v>3.9338682676139297E-2</v>
      </c>
      <c r="AJ149" s="117">
        <f t="shared" si="49"/>
        <v>3.8644028595824435E-2</v>
      </c>
      <c r="AK149" s="117">
        <f t="shared" si="49"/>
        <v>3.7318306010218689E-2</v>
      </c>
      <c r="AL149" s="117">
        <f t="shared" ref="AL149:BW149" si="50">AL104/AL150</f>
        <v>4.2367675479769398E-2</v>
      </c>
      <c r="AM149" s="117">
        <f t="shared" si="50"/>
        <v>5.0020604700649611E-2</v>
      </c>
      <c r="AN149" s="117">
        <f t="shared" si="50"/>
        <v>6.4468600860815295E-2</v>
      </c>
      <c r="AO149" s="117">
        <f t="shared" si="50"/>
        <v>5.6234329577841941E-2</v>
      </c>
      <c r="AP149" s="117">
        <f t="shared" si="50"/>
        <v>5.1813111150930062E-2</v>
      </c>
      <c r="AQ149" s="117">
        <f t="shared" si="50"/>
        <v>5.1501646742270021E-2</v>
      </c>
      <c r="AR149" s="117">
        <f t="shared" si="50"/>
        <v>5.1084258205837944E-2</v>
      </c>
      <c r="AS149" s="117">
        <f t="shared" si="50"/>
        <v>4.2934933790443448E-2</v>
      </c>
      <c r="AT149" s="117">
        <f t="shared" si="50"/>
        <v>3.5639852590142684E-2</v>
      </c>
      <c r="AU149" s="117">
        <f t="shared" si="50"/>
        <v>4.1716588771525932E-2</v>
      </c>
      <c r="AV149" s="117">
        <f t="shared" si="50"/>
        <v>4.1625188079333103E-2</v>
      </c>
      <c r="AW149" s="117">
        <f t="shared" si="50"/>
        <v>3.8434220767927081E-2</v>
      </c>
      <c r="AX149" s="117">
        <f t="shared" si="50"/>
        <v>4.7889647519013055E-2</v>
      </c>
      <c r="AY149" s="117">
        <f t="shared" si="50"/>
        <v>3.0092551028535263E-2</v>
      </c>
      <c r="AZ149" s="117">
        <f t="shared" si="50"/>
        <v>1.8198001574907207E-2</v>
      </c>
      <c r="BA149" s="117">
        <f t="shared" si="50"/>
        <v>1.7304589668099384E-2</v>
      </c>
      <c r="BB149" s="117">
        <f t="shared" si="50"/>
        <v>1.7184655307667131E-2</v>
      </c>
      <c r="BC149" s="117">
        <f t="shared" si="50"/>
        <v>1.6974849960558914E-2</v>
      </c>
      <c r="BD149" s="117">
        <f t="shared" si="50"/>
        <v>1.4366861494409914E-2</v>
      </c>
      <c r="BE149" s="117">
        <f t="shared" si="50"/>
        <v>1.3230808029839133E-2</v>
      </c>
      <c r="BF149" s="117">
        <f t="shared" si="50"/>
        <v>1.5124500126257275E-2</v>
      </c>
      <c r="BG149" s="117">
        <f t="shared" si="50"/>
        <v>1.4740165476816908E-2</v>
      </c>
      <c r="BH149" s="117">
        <f t="shared" si="50"/>
        <v>1.6635061638621013E-2</v>
      </c>
      <c r="BI149" s="117">
        <f t="shared" si="50"/>
        <v>1.8636835260287615E-2</v>
      </c>
      <c r="BJ149" s="117">
        <f t="shared" si="50"/>
        <v>2.0221615550036286E-2</v>
      </c>
      <c r="BK149" s="117">
        <f t="shared" si="50"/>
        <v>1.9422892890320006E-2</v>
      </c>
      <c r="BL149" s="117">
        <f t="shared" si="50"/>
        <v>1.739957363450223E-2</v>
      </c>
      <c r="BM149" s="117">
        <f t="shared" si="50"/>
        <v>2.0302505340000051E-2</v>
      </c>
      <c r="BN149" s="117">
        <f t="shared" si="50"/>
        <v>2.0174394124101581E-2</v>
      </c>
      <c r="BO149" s="117">
        <f t="shared" si="50"/>
        <v>2.0052328863350361E-2</v>
      </c>
      <c r="BP149" s="117">
        <f t="shared" si="50"/>
        <v>2.0234316314043037E-2</v>
      </c>
      <c r="BQ149" s="117">
        <f t="shared" si="50"/>
        <v>2.0127525247069681E-2</v>
      </c>
      <c r="BR149" s="117">
        <f t="shared" si="50"/>
        <v>2.2198683754849426E-2</v>
      </c>
      <c r="BS149" s="117">
        <f t="shared" si="50"/>
        <v>2.4764133958366151E-2</v>
      </c>
      <c r="BT149" s="117">
        <f t="shared" si="50"/>
        <v>3.3536531649877452E-2</v>
      </c>
      <c r="BU149" s="117">
        <f t="shared" si="50"/>
        <v>3.1623275938917901E-2</v>
      </c>
      <c r="BV149" s="117">
        <f t="shared" si="50"/>
        <v>3.8269729519993245E-2</v>
      </c>
      <c r="BW149" s="117">
        <f t="shared" si="50"/>
        <v>3.7043898756209587E-2</v>
      </c>
      <c r="BX149" s="46"/>
      <c r="BY149" s="46"/>
      <c r="BZ149" s="46"/>
    </row>
    <row r="150" spans="1:145" s="30" customFormat="1" ht="12.75" customHeight="1" x14ac:dyDescent="0.5">
      <c r="A150" s="30" t="s">
        <v>265</v>
      </c>
      <c r="B150" s="30" t="s">
        <v>281</v>
      </c>
      <c r="C150" s="30" t="s">
        <v>145</v>
      </c>
      <c r="Y150" s="56">
        <v>7028.6774306261368</v>
      </c>
      <c r="Z150" s="56">
        <v>6672.5773841088758</v>
      </c>
      <c r="AA150" s="56">
        <v>7259.9971842518371</v>
      </c>
      <c r="AB150" s="56">
        <v>7421.256324669489</v>
      </c>
      <c r="AC150" s="56">
        <v>9481.602613474457</v>
      </c>
      <c r="AD150" s="56">
        <v>9953.2154047634776</v>
      </c>
      <c r="AE150" s="56">
        <v>11321.795744238207</v>
      </c>
      <c r="AF150" s="56">
        <v>11733.393923130172</v>
      </c>
      <c r="AG150" s="56">
        <v>12770.857380959613</v>
      </c>
      <c r="AH150" s="56">
        <v>12801.489777423303</v>
      </c>
      <c r="AI150" s="56">
        <v>13299.886127537888</v>
      </c>
      <c r="AJ150" s="56">
        <v>14097.909037849815</v>
      </c>
      <c r="AK150" s="56">
        <v>15954.636307365197</v>
      </c>
      <c r="AL150" s="56">
        <v>18056.218363107699</v>
      </c>
      <c r="AM150" s="56">
        <v>21990.937666247653</v>
      </c>
      <c r="AN150" s="56">
        <v>25438.740380618521</v>
      </c>
      <c r="AO150" s="56">
        <v>30764.125988294407</v>
      </c>
      <c r="AP150" s="56">
        <v>37731.762416372621</v>
      </c>
      <c r="AQ150" s="56">
        <v>41416.151422772629</v>
      </c>
      <c r="AR150" s="56">
        <v>47666.34743306748</v>
      </c>
      <c r="AS150" s="56">
        <v>58996.247958901025</v>
      </c>
      <c r="AT150" s="56">
        <v>79096.847914002952</v>
      </c>
      <c r="AU150" s="56">
        <v>90251.866484582701</v>
      </c>
      <c r="AV150" s="56">
        <v>101549.09070786169</v>
      </c>
      <c r="AW150" s="56">
        <v>121272.13475053853</v>
      </c>
      <c r="AX150" s="56">
        <v>138652.09589115894</v>
      </c>
      <c r="AY150" s="56">
        <v>266344.98326179711</v>
      </c>
      <c r="AZ150" s="56">
        <v>494779.60329530924</v>
      </c>
      <c r="BA150" s="56">
        <v>688834.59409466665</v>
      </c>
      <c r="BB150" s="56">
        <v>1171277.4937661777</v>
      </c>
      <c r="BC150" s="56">
        <v>1580809.2597194575</v>
      </c>
      <c r="BD150" s="56">
        <v>2118695.1660836772</v>
      </c>
      <c r="BE150" s="56">
        <v>2834294.0140486602</v>
      </c>
      <c r="BF150" s="56">
        <v>3795166.7506914339</v>
      </c>
      <c r="BG150" s="56">
        <v>5284879.6115972949</v>
      </c>
      <c r="BH150" s="56">
        <v>6702710.3609363576</v>
      </c>
      <c r="BI150" s="56">
        <v>8375885.5953739304</v>
      </c>
      <c r="BJ150" s="56">
        <v>9850844.9785874076</v>
      </c>
      <c r="BK150" s="56">
        <v>11267116.65640012</v>
      </c>
      <c r="BL150" s="56">
        <v>12671574.86909923</v>
      </c>
      <c r="BM150" s="56">
        <v>14052452.897914089</v>
      </c>
      <c r="BN150" s="56">
        <v>15271834.09349204</v>
      </c>
      <c r="BO150" s="56">
        <v>17055375.579096619</v>
      </c>
      <c r="BP150" s="56">
        <v>19659670.91875096</v>
      </c>
      <c r="BQ150" s="56">
        <v>23057976.293810248</v>
      </c>
      <c r="BR150" s="56">
        <v>24821291.482186686</v>
      </c>
      <c r="BS150" s="56">
        <v>26530303.910670113</v>
      </c>
      <c r="BT150" s="56">
        <v>29937502.496733852</v>
      </c>
      <c r="BU150" s="56">
        <v>35891284.704099439</v>
      </c>
      <c r="BV150" s="56">
        <v>42043673.163653024</v>
      </c>
      <c r="BW150" s="56">
        <v>46512382.817458637</v>
      </c>
      <c r="BX150" s="56">
        <v>52762583.393526271</v>
      </c>
      <c r="BY150" s="56">
        <v>63900241.34720283</v>
      </c>
      <c r="BZ150" s="56">
        <v>76215436.680181131</v>
      </c>
      <c r="CA150" s="56">
        <v>83918278.52854006</v>
      </c>
      <c r="CB150" s="56"/>
      <c r="CC150" s="27"/>
      <c r="CD150" s="27"/>
      <c r="CE150" s="27"/>
      <c r="CF150" s="27"/>
      <c r="CG150" s="27"/>
      <c r="CH150" s="27"/>
      <c r="CI150" s="27"/>
      <c r="CJ150" s="27"/>
      <c r="CK150" s="27"/>
      <c r="CL150" s="27"/>
      <c r="CM150" s="27"/>
      <c r="CN150" s="27"/>
      <c r="CO150" s="27"/>
      <c r="CP150" s="27"/>
      <c r="CQ150" s="27"/>
      <c r="CR150" s="27"/>
      <c r="CS150" s="27"/>
      <c r="CT150" s="27"/>
      <c r="CU150" s="27"/>
      <c r="CV150" s="27"/>
      <c r="CW150" s="27"/>
      <c r="CX150" s="27"/>
      <c r="CY150" s="27"/>
      <c r="CZ150" s="27"/>
      <c r="DA150" s="27"/>
      <c r="DB150" s="27"/>
      <c r="DC150" s="27"/>
      <c r="DD150" s="27"/>
      <c r="DE150" s="27"/>
      <c r="DF150" s="27"/>
      <c r="DG150" s="27"/>
      <c r="DH150" s="27"/>
      <c r="DI150" s="27"/>
      <c r="DJ150" s="27"/>
      <c r="DK150" s="27"/>
      <c r="DL150" s="27"/>
      <c r="DM150" s="27"/>
      <c r="DN150" s="27"/>
      <c r="DO150" s="27"/>
      <c r="DP150" s="27"/>
      <c r="DQ150" s="27"/>
      <c r="DR150" s="27"/>
      <c r="DS150" s="27"/>
      <c r="DT150" s="27"/>
      <c r="DU150" s="27"/>
      <c r="DV150" s="27"/>
      <c r="DW150" s="27"/>
      <c r="DX150" s="27"/>
      <c r="DY150" s="27"/>
      <c r="DZ150" s="27"/>
      <c r="EA150" s="27"/>
      <c r="EB150" s="27"/>
      <c r="EC150" s="27"/>
      <c r="ED150" s="27"/>
      <c r="EE150" s="27"/>
      <c r="EF150" s="27"/>
      <c r="EG150" s="27"/>
      <c r="EH150" s="27"/>
      <c r="EI150" s="27"/>
      <c r="EJ150" s="27"/>
      <c r="EK150" s="27"/>
      <c r="EL150" s="27"/>
      <c r="EM150" s="27"/>
      <c r="EN150" s="27"/>
      <c r="EO150" s="27"/>
    </row>
    <row r="151" spans="1:145" ht="12.75" customHeight="1" x14ac:dyDescent="0.5">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row>
    <row r="152" spans="1:145" ht="12.75" customHeight="1" x14ac:dyDescent="0.5">
      <c r="A152" s="30" t="s">
        <v>282</v>
      </c>
      <c r="C152" s="87" t="s">
        <v>283</v>
      </c>
      <c r="Y152" s="59">
        <v>3702</v>
      </c>
      <c r="Z152" s="59">
        <v>3870</v>
      </c>
      <c r="AA152" s="59">
        <v>4228</v>
      </c>
      <c r="AB152" s="59">
        <v>4626</v>
      </c>
      <c r="AC152" s="59">
        <v>4934</v>
      </c>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row>
    <row r="153" spans="1:145" s="30" customFormat="1" ht="12.75" customHeight="1" x14ac:dyDescent="0.55000000000000004">
      <c r="A153" s="30" t="s">
        <v>282</v>
      </c>
      <c r="C153" s="87" t="s">
        <v>284</v>
      </c>
      <c r="D153" s="87"/>
      <c r="Y153" s="59"/>
      <c r="Z153" s="68"/>
      <c r="AA153" s="68"/>
      <c r="AB153" s="68"/>
      <c r="AC153" s="59">
        <v>6030</v>
      </c>
      <c r="AD153" s="59">
        <v>6140</v>
      </c>
      <c r="AE153" s="59">
        <v>7042</v>
      </c>
      <c r="AF153" s="59">
        <v>7343</v>
      </c>
      <c r="AG153" s="59">
        <v>7874</v>
      </c>
      <c r="AH153" s="59">
        <v>8271</v>
      </c>
      <c r="AI153" s="68">
        <v>9173</v>
      </c>
      <c r="AJ153" s="68">
        <v>9797</v>
      </c>
      <c r="AK153" s="68">
        <v>11270</v>
      </c>
      <c r="AL153" s="59">
        <v>13144</v>
      </c>
      <c r="AM153" s="59">
        <v>15851</v>
      </c>
      <c r="AN153" s="59">
        <v>19011</v>
      </c>
      <c r="AO153" s="59"/>
      <c r="AP153" s="59"/>
      <c r="AQ153" s="59">
        <v>33240</v>
      </c>
      <c r="AR153" s="59">
        <v>36287</v>
      </c>
      <c r="AS153" s="59">
        <v>40245</v>
      </c>
      <c r="AT153" s="59">
        <v>44902</v>
      </c>
      <c r="AU153" s="59">
        <v>47575</v>
      </c>
      <c r="AV153" s="59"/>
      <c r="AW153" s="59"/>
      <c r="AX153" s="59"/>
      <c r="AY153" s="59"/>
      <c r="AZ153" s="59"/>
      <c r="BA153" s="59"/>
      <c r="BB153" s="59"/>
      <c r="BC153" s="59"/>
      <c r="BD153" s="59"/>
      <c r="BE153" s="59"/>
      <c r="BF153" s="59"/>
      <c r="BG153" s="59"/>
      <c r="BH153" s="59"/>
      <c r="BI153" s="59"/>
      <c r="BJ153" s="59"/>
      <c r="BK153" s="59"/>
      <c r="BL153" s="59"/>
      <c r="BM153" s="59"/>
      <c r="BN153" s="59"/>
      <c r="BO153" s="59"/>
      <c r="BP153" s="59"/>
      <c r="BQ153" s="59"/>
      <c r="BR153" s="59"/>
      <c r="BS153" s="59"/>
      <c r="BT153" s="59"/>
      <c r="BU153" s="186"/>
      <c r="BV153" s="186"/>
      <c r="BW153" s="186"/>
      <c r="BX153" s="186"/>
      <c r="BY153" s="186"/>
      <c r="BZ153" s="186"/>
      <c r="CA153" s="186"/>
      <c r="CB153" s="59"/>
    </row>
    <row r="154" spans="1:145" s="30" customFormat="1" ht="12.75" customHeight="1" x14ac:dyDescent="0.55000000000000004">
      <c r="A154" s="30" t="s">
        <v>282</v>
      </c>
      <c r="C154" s="87" t="s">
        <v>285</v>
      </c>
      <c r="D154" s="87"/>
      <c r="Y154" s="59"/>
      <c r="Z154" s="59"/>
      <c r="AA154" s="59"/>
      <c r="AB154" s="59"/>
      <c r="AC154" s="59"/>
      <c r="AD154" s="59"/>
      <c r="AE154" s="59"/>
      <c r="AF154" s="59"/>
      <c r="AG154" s="59"/>
      <c r="AH154" s="59"/>
      <c r="AI154" s="59"/>
      <c r="AJ154" s="59"/>
      <c r="AK154" s="59"/>
      <c r="AL154" s="59"/>
      <c r="AM154" s="59"/>
      <c r="AN154" s="59"/>
      <c r="AO154" s="68">
        <v>24419</v>
      </c>
      <c r="AP154" s="59">
        <v>28868</v>
      </c>
      <c r="AQ154" s="59">
        <v>32169</v>
      </c>
      <c r="AR154" s="59">
        <v>36285</v>
      </c>
      <c r="AS154" s="59">
        <v>42118</v>
      </c>
      <c r="AT154" s="59">
        <v>49102</v>
      </c>
      <c r="AU154" s="59">
        <v>58226</v>
      </c>
      <c r="AV154" s="59">
        <v>70509</v>
      </c>
      <c r="AW154" s="59">
        <v>88892</v>
      </c>
      <c r="AX154" s="59">
        <v>120621</v>
      </c>
      <c r="AY154" s="59">
        <v>159648</v>
      </c>
      <c r="AZ154" s="59">
        <v>203901</v>
      </c>
      <c r="BA154" s="59">
        <v>367135</v>
      </c>
      <c r="BB154" s="59">
        <v>584388</v>
      </c>
      <c r="BC154" s="59">
        <v>758050</v>
      </c>
      <c r="BD154" s="59">
        <v>935074</v>
      </c>
      <c r="BE154" s="59">
        <v>1130596</v>
      </c>
      <c r="BF154" s="59">
        <v>1404369</v>
      </c>
      <c r="BG154" s="59">
        <v>1822570</v>
      </c>
      <c r="BH154" s="59"/>
      <c r="BI154" s="59"/>
      <c r="BJ154" s="59"/>
      <c r="BK154" s="59"/>
      <c r="BL154" s="59"/>
      <c r="BM154" s="59"/>
      <c r="BN154" s="59"/>
      <c r="BO154" s="59"/>
      <c r="BP154" s="59"/>
      <c r="BQ154" s="59"/>
      <c r="BR154" s="59"/>
      <c r="BS154" s="59"/>
      <c r="BT154" s="59"/>
      <c r="BU154" s="186"/>
      <c r="BV154" s="186"/>
      <c r="BW154" s="186"/>
      <c r="BX154" s="186"/>
      <c r="BY154" s="186"/>
      <c r="BZ154" s="186"/>
      <c r="CA154" s="186"/>
      <c r="CB154" s="59"/>
    </row>
    <row r="155" spans="1:145" ht="12.75" customHeight="1" x14ac:dyDescent="0.5">
      <c r="B155" s="26" t="s">
        <v>103</v>
      </c>
      <c r="C155" s="26" t="s">
        <v>286</v>
      </c>
      <c r="Y155" s="56"/>
      <c r="Z155" s="56"/>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v>506430</v>
      </c>
      <c r="BB155" s="56">
        <v>633750</v>
      </c>
      <c r="BC155" s="56">
        <v>830693</v>
      </c>
      <c r="BD155" s="56">
        <v>1086273</v>
      </c>
      <c r="BE155" s="56">
        <v>1369878</v>
      </c>
      <c r="BF155" s="56">
        <v>1725536</v>
      </c>
      <c r="BG155" s="56">
        <v>2298867</v>
      </c>
      <c r="BH155" s="56">
        <v>3020500.0000000005</v>
      </c>
      <c r="BI155" s="56">
        <v>3767641.9999999995</v>
      </c>
      <c r="BJ155" s="56">
        <v>4703459</v>
      </c>
      <c r="BK155" s="56">
        <v>6211468.1623999998</v>
      </c>
      <c r="BL155" s="56">
        <v>7222559.9999999991</v>
      </c>
      <c r="BM155" s="56">
        <v>8152790</v>
      </c>
      <c r="BN155" s="56">
        <v>9100274</v>
      </c>
      <c r="BO155" s="56">
        <v>10444507</v>
      </c>
      <c r="BP155" s="56">
        <v>12107062</v>
      </c>
      <c r="BQ155" s="56">
        <v>13971592</v>
      </c>
      <c r="BR155" s="56">
        <v>19112829.5891</v>
      </c>
      <c r="BS155" s="56">
        <v>23298435.2828</v>
      </c>
      <c r="BT155" s="56">
        <v>26770431.799899999</v>
      </c>
      <c r="BU155" s="56">
        <v>32764939.517000001</v>
      </c>
      <c r="BV155" s="56">
        <v>37726823.627800003</v>
      </c>
      <c r="BW155" s="56">
        <v>43836018.04990001</v>
      </c>
      <c r="BX155" s="56">
        <v>52762580.930799998</v>
      </c>
      <c r="BY155" s="56">
        <v>61434213.90950001</v>
      </c>
      <c r="BZ155" s="56">
        <v>70953227.346200004</v>
      </c>
      <c r="CA155" s="56">
        <v>79442499.331599981</v>
      </c>
      <c r="CB155" s="56"/>
    </row>
    <row r="156" spans="1:145" ht="12.75" customHeight="1" x14ac:dyDescent="0.5">
      <c r="B156" s="26" t="s">
        <v>287</v>
      </c>
      <c r="C156" s="98" t="s">
        <v>288</v>
      </c>
      <c r="Y156" s="56"/>
      <c r="Z156" s="155">
        <f>AA156*(Z152/AA152)</f>
        <v>6524.1324246446966</v>
      </c>
      <c r="AA156" s="155">
        <f t="shared" ref="AA156" si="51">AB156*(AA152/AB152)</f>
        <v>7127.6568194826295</v>
      </c>
      <c r="AB156" s="155">
        <f>AC156*(AB152/AC152)</f>
        <v>7798.6141075985443</v>
      </c>
      <c r="AC156" s="155">
        <f>AD156*(AC153/AD153)</f>
        <v>8317.8473858390007</v>
      </c>
      <c r="AD156" s="155">
        <f t="shared" ref="AD156:AL156" si="52">AE156*(AD153/AE153)</f>
        <v>8469.5825786155001</v>
      </c>
      <c r="AE156" s="155">
        <f t="shared" si="52"/>
        <v>9713.8111593827925</v>
      </c>
      <c r="AF156" s="155">
        <f t="shared" si="52"/>
        <v>10129.013823253032</v>
      </c>
      <c r="AG156" s="155">
        <f t="shared" si="52"/>
        <v>10861.480981110495</v>
      </c>
      <c r="AH156" s="155">
        <f t="shared" si="52"/>
        <v>11409.107085949314</v>
      </c>
      <c r="AI156" s="155">
        <f t="shared" si="52"/>
        <v>12653.335666716606</v>
      </c>
      <c r="AJ156" s="155">
        <f t="shared" si="52"/>
        <v>13514.088033012384</v>
      </c>
      <c r="AK156" s="155">
        <f t="shared" si="52"/>
        <v>15545.960205374049</v>
      </c>
      <c r="AL156" s="155">
        <f t="shared" si="52"/>
        <v>18130.976125948226</v>
      </c>
      <c r="AM156" s="155">
        <f>AN156*(AM153/AN153)</f>
        <v>21865.04127909353</v>
      </c>
      <c r="AN156" s="155">
        <f>AO156*(AN153/AO154)</f>
        <v>26223.979544309321</v>
      </c>
      <c r="AO156" s="155">
        <f t="shared" ref="AO156:AY156" si="53">AP156*(AO154/AP154)</f>
        <v>33683.833385539387</v>
      </c>
      <c r="AP156" s="155">
        <f t="shared" si="53"/>
        <v>39820.832227927065</v>
      </c>
      <c r="AQ156" s="155">
        <f>AR156*(AQ154/AR154)</f>
        <v>44374.267422065459</v>
      </c>
      <c r="AR156" s="155">
        <f t="shared" si="53"/>
        <v>50051.922453593375</v>
      </c>
      <c r="AS156" s="155">
        <f t="shared" si="53"/>
        <v>58098.025903278103</v>
      </c>
      <c r="AT156" s="155">
        <f t="shared" si="53"/>
        <v>67731.83123374237</v>
      </c>
      <c r="AU156" s="155">
        <f t="shared" si="53"/>
        <v>80317.575769131261</v>
      </c>
      <c r="AV156" s="155">
        <f t="shared" si="53"/>
        <v>97260.879158892523</v>
      </c>
      <c r="AW156" s="155">
        <f t="shared" si="53"/>
        <v>122618.58869353238</v>
      </c>
      <c r="AX156" s="155">
        <f t="shared" si="53"/>
        <v>166385.91534449183</v>
      </c>
      <c r="AY156" s="155">
        <f t="shared" si="53"/>
        <v>220220.18233075028</v>
      </c>
      <c r="AZ156" s="155">
        <f>BA156*(AZ154/BA154)</f>
        <v>281263.25038473587</v>
      </c>
      <c r="BA156" s="56">
        <f>BA155</f>
        <v>506430</v>
      </c>
      <c r="BB156" s="56">
        <f t="shared" ref="BB156:CA156" si="54">BB155</f>
        <v>633750</v>
      </c>
      <c r="BC156" s="56">
        <f t="shared" si="54"/>
        <v>830693</v>
      </c>
      <c r="BD156" s="56">
        <f t="shared" si="54"/>
        <v>1086273</v>
      </c>
      <c r="BE156" s="56">
        <f t="shared" si="54"/>
        <v>1369878</v>
      </c>
      <c r="BF156" s="56">
        <f t="shared" si="54"/>
        <v>1725536</v>
      </c>
      <c r="BG156" s="56">
        <f t="shared" si="54"/>
        <v>2298867</v>
      </c>
      <c r="BH156" s="56">
        <f t="shared" si="54"/>
        <v>3020500.0000000005</v>
      </c>
      <c r="BI156" s="56">
        <f t="shared" si="54"/>
        <v>3767641.9999999995</v>
      </c>
      <c r="BJ156" s="56">
        <f t="shared" si="54"/>
        <v>4703459</v>
      </c>
      <c r="BK156" s="56">
        <f t="shared" si="54"/>
        <v>6211468.1623999998</v>
      </c>
      <c r="BL156" s="56">
        <f t="shared" si="54"/>
        <v>7222559.9999999991</v>
      </c>
      <c r="BM156" s="56">
        <f t="shared" si="54"/>
        <v>8152790</v>
      </c>
      <c r="BN156" s="56">
        <f t="shared" si="54"/>
        <v>9100274</v>
      </c>
      <c r="BO156" s="56">
        <f t="shared" si="54"/>
        <v>10444507</v>
      </c>
      <c r="BP156" s="56">
        <f t="shared" si="54"/>
        <v>12107062</v>
      </c>
      <c r="BQ156" s="56">
        <f t="shared" si="54"/>
        <v>13971592</v>
      </c>
      <c r="BR156" s="56">
        <f t="shared" si="54"/>
        <v>19112829.5891</v>
      </c>
      <c r="BS156" s="56">
        <f t="shared" si="54"/>
        <v>23298435.2828</v>
      </c>
      <c r="BT156" s="56">
        <f t="shared" si="54"/>
        <v>26770431.799899999</v>
      </c>
      <c r="BU156" s="56">
        <f t="shared" si="54"/>
        <v>32764939.517000001</v>
      </c>
      <c r="BV156" s="56">
        <f t="shared" si="54"/>
        <v>37726823.627800003</v>
      </c>
      <c r="BW156" s="56">
        <f t="shared" si="54"/>
        <v>43836018.04990001</v>
      </c>
      <c r="BX156" s="56">
        <f t="shared" si="54"/>
        <v>52762580.930799998</v>
      </c>
      <c r="BY156" s="56">
        <f t="shared" si="54"/>
        <v>61434213.90950001</v>
      </c>
      <c r="BZ156" s="56">
        <f t="shared" si="54"/>
        <v>70953227.346200004</v>
      </c>
      <c r="CA156" s="56">
        <f t="shared" si="54"/>
        <v>79442499.331599981</v>
      </c>
      <c r="CB156" s="56"/>
    </row>
    <row r="157" spans="1:145" ht="12.75" customHeight="1" x14ac:dyDescent="0.5">
      <c r="Y157" s="56"/>
      <c r="Z157" s="56"/>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row>
    <row r="158" spans="1:145" s="66" customFormat="1" ht="12.75" customHeight="1" x14ac:dyDescent="0.55000000000000004">
      <c r="A158" s="30" t="s">
        <v>282</v>
      </c>
      <c r="B158" s="66" t="s">
        <v>254</v>
      </c>
      <c r="C158" s="30" t="s">
        <v>289</v>
      </c>
      <c r="L158" s="107"/>
      <c r="M158" s="107"/>
      <c r="N158" s="107"/>
      <c r="O158" s="107"/>
      <c r="P158" s="107"/>
      <c r="Q158" s="107"/>
      <c r="R158" s="107"/>
      <c r="S158" s="107"/>
      <c r="T158" s="107"/>
      <c r="U158" s="107"/>
      <c r="V158" s="107"/>
      <c r="W158" s="107"/>
      <c r="X158" s="107"/>
      <c r="Y158" s="68"/>
      <c r="Z158" s="68">
        <v>3080</v>
      </c>
      <c r="AA158" s="68">
        <v>3484</v>
      </c>
      <c r="AB158" s="68">
        <v>3638</v>
      </c>
      <c r="AC158" s="68">
        <v>3697</v>
      </c>
      <c r="AD158" s="68">
        <v>3708</v>
      </c>
      <c r="AE158" s="68">
        <v>5205</v>
      </c>
      <c r="AF158" s="68">
        <v>5358</v>
      </c>
      <c r="AG158" s="68">
        <v>5894</v>
      </c>
      <c r="AH158" s="68">
        <v>6187</v>
      </c>
      <c r="AI158" s="68">
        <v>6840</v>
      </c>
      <c r="AJ158" s="68">
        <v>6712</v>
      </c>
      <c r="AK158" s="68">
        <v>7933</v>
      </c>
      <c r="AL158" s="68">
        <v>9382</v>
      </c>
      <c r="AM158" s="68">
        <v>12003</v>
      </c>
      <c r="AN158" s="174">
        <f>(AO158+AM158)/2</f>
        <v>13690</v>
      </c>
      <c r="AO158" s="68">
        <v>15377</v>
      </c>
      <c r="AP158" s="68">
        <v>17979</v>
      </c>
      <c r="AQ158" s="68">
        <v>23363</v>
      </c>
      <c r="AR158" s="68">
        <v>25497</v>
      </c>
      <c r="AS158" s="68">
        <v>32486</v>
      </c>
      <c r="AT158" s="68">
        <v>37035</v>
      </c>
      <c r="AU158" s="68">
        <v>42261</v>
      </c>
      <c r="AV158" s="68">
        <v>55128</v>
      </c>
      <c r="AW158" s="68">
        <v>68652</v>
      </c>
      <c r="AX158" s="68">
        <v>93130</v>
      </c>
      <c r="AY158" s="68">
        <v>127307</v>
      </c>
      <c r="AZ158" s="68">
        <v>175049</v>
      </c>
      <c r="BA158" s="68">
        <v>311330</v>
      </c>
      <c r="BB158" s="174">
        <f>(BC158+BA158)/2</f>
        <v>352930</v>
      </c>
      <c r="BC158" s="68">
        <v>394530</v>
      </c>
      <c r="BD158" s="68">
        <v>605095</v>
      </c>
      <c r="BE158" s="68">
        <v>718064</v>
      </c>
      <c r="BF158" s="68">
        <v>918251</v>
      </c>
      <c r="BG158" s="68"/>
      <c r="BH158" s="68"/>
      <c r="BI158" s="68"/>
      <c r="BJ158" s="68"/>
      <c r="BK158" s="68"/>
      <c r="BL158" s="68"/>
      <c r="BM158" s="68"/>
      <c r="BN158" s="68"/>
      <c r="BO158" s="68"/>
      <c r="BP158" s="68"/>
      <c r="BQ158" s="68"/>
      <c r="BR158" s="68"/>
      <c r="BS158" s="68"/>
      <c r="BT158" s="68"/>
      <c r="BU158" s="68"/>
      <c r="BV158" s="68"/>
      <c r="BW158" s="68"/>
      <c r="BX158" s="68"/>
      <c r="BY158" s="68"/>
      <c r="BZ158" s="68"/>
      <c r="CA158" s="68"/>
      <c r="CB158" s="68"/>
    </row>
    <row r="159" spans="1:145" s="66" customFormat="1" ht="12.75" customHeight="1" x14ac:dyDescent="0.55000000000000004">
      <c r="A159" s="30" t="s">
        <v>282</v>
      </c>
      <c r="B159" s="66" t="s">
        <v>103</v>
      </c>
      <c r="C159" s="30" t="s">
        <v>149</v>
      </c>
      <c r="L159" s="107"/>
      <c r="M159" s="107"/>
      <c r="N159" s="107"/>
      <c r="O159" s="107"/>
      <c r="P159" s="107"/>
      <c r="Q159" s="107"/>
      <c r="R159" s="107"/>
      <c r="S159" s="107"/>
      <c r="T159" s="107"/>
      <c r="U159" s="107"/>
      <c r="V159" s="107"/>
      <c r="W159" s="107"/>
      <c r="X159" s="107"/>
      <c r="Y159" s="68"/>
      <c r="Z159" s="68"/>
      <c r="AA159" s="68"/>
      <c r="AB159" s="68"/>
      <c r="AC159" s="186"/>
      <c r="AD159" s="68"/>
      <c r="AE159" s="68"/>
      <c r="AF159" s="68"/>
      <c r="AG159" s="68"/>
      <c r="AH159" s="68"/>
      <c r="AI159" s="68"/>
      <c r="AJ159" s="68"/>
      <c r="AK159" s="68"/>
      <c r="AL159" s="68"/>
      <c r="AM159" s="68"/>
      <c r="AN159" s="68"/>
      <c r="AO159" s="68"/>
      <c r="AP159" s="68"/>
      <c r="AQ159" s="68"/>
      <c r="AR159" s="68"/>
      <c r="AS159" s="68"/>
      <c r="AT159" s="68"/>
      <c r="AU159" s="68"/>
      <c r="AV159" s="68"/>
      <c r="AW159" s="68"/>
      <c r="AX159" s="68"/>
      <c r="AY159" s="68"/>
      <c r="AZ159" s="68"/>
      <c r="BA159" s="68"/>
      <c r="BB159" s="68"/>
      <c r="BC159" s="59">
        <v>687706</v>
      </c>
      <c r="BD159" s="59">
        <v>887124</v>
      </c>
      <c r="BE159" s="59">
        <v>1133194</v>
      </c>
      <c r="BF159" s="59">
        <v>1445366</v>
      </c>
      <c r="BG159" s="59">
        <v>1931976</v>
      </c>
      <c r="BH159" s="59">
        <v>2532841</v>
      </c>
      <c r="BI159" s="59">
        <v>3130072</v>
      </c>
      <c r="BJ159" s="59">
        <v>3968072</v>
      </c>
      <c r="BK159" s="59">
        <v>5058804</v>
      </c>
      <c r="BL159" s="59">
        <v>5861115</v>
      </c>
      <c r="BM159" s="59">
        <v>6380790</v>
      </c>
      <c r="BN159" s="59">
        <v>6822466</v>
      </c>
      <c r="BO159" s="59">
        <v>7512354</v>
      </c>
      <c r="BP159" s="59">
        <v>8442113</v>
      </c>
      <c r="BQ159" s="59">
        <v>9352717</v>
      </c>
      <c r="BR159" s="59">
        <v>12415409.6707546</v>
      </c>
      <c r="BS159" s="59">
        <v>14547611.888251198</v>
      </c>
      <c r="BT159" s="59">
        <v>16411287.770099999</v>
      </c>
      <c r="BU159" s="59">
        <v>20917944.183699999</v>
      </c>
      <c r="BV159" s="59">
        <v>24938715.493000004</v>
      </c>
      <c r="BW159" s="59">
        <v>28631522.0812</v>
      </c>
      <c r="BX159" s="59">
        <v>34547932.6303</v>
      </c>
      <c r="BY159" s="59">
        <v>40823281.317100003</v>
      </c>
      <c r="BZ159" s="59">
        <v>49001703.271499991</v>
      </c>
      <c r="CA159" s="59">
        <v>51226640.320899993</v>
      </c>
      <c r="CB159" s="59">
        <v>55792908.321992308</v>
      </c>
    </row>
    <row r="160" spans="1:145" s="66" customFormat="1" ht="12.75" customHeight="1" x14ac:dyDescent="0.55000000000000004">
      <c r="A160" s="30"/>
      <c r="C160" s="30" t="s">
        <v>290</v>
      </c>
      <c r="L160" s="107"/>
      <c r="M160" s="107"/>
      <c r="N160" s="107"/>
      <c r="O160" s="107"/>
      <c r="P160" s="107"/>
      <c r="Q160" s="107"/>
      <c r="R160" s="107"/>
      <c r="S160" s="107"/>
      <c r="T160" s="107"/>
      <c r="U160" s="107"/>
      <c r="V160" s="107"/>
      <c r="W160" s="107"/>
      <c r="X160" s="107"/>
      <c r="Y160" s="68"/>
      <c r="Z160" s="68"/>
      <c r="AA160" s="68"/>
      <c r="AB160" s="68"/>
      <c r="AC160" s="174">
        <f t="shared" ref="AC160:AN160" si="55">AC158/AC153*AC156</f>
        <v>5099.6818881337949</v>
      </c>
      <c r="AD160" s="174">
        <f t="shared" si="55"/>
        <v>5114.8554074114454</v>
      </c>
      <c r="AE160" s="174">
        <f t="shared" si="55"/>
        <v>7179.8334400152562</v>
      </c>
      <c r="AF160" s="174">
        <f t="shared" si="55"/>
        <v>7390.8832990589335</v>
      </c>
      <c r="AG160" s="174">
        <f t="shared" si="55"/>
        <v>8130.2475111335098</v>
      </c>
      <c r="AH160" s="174">
        <f t="shared" si="55"/>
        <v>8534.4148882563659</v>
      </c>
      <c r="AI160" s="174">
        <f t="shared" si="55"/>
        <v>9435.1701690114023</v>
      </c>
      <c r="AJ160" s="174">
        <f t="shared" si="55"/>
        <v>9258.6055810532926</v>
      </c>
      <c r="AK160" s="174">
        <f t="shared" si="55"/>
        <v>10942.866220872434</v>
      </c>
      <c r="AL160" s="174">
        <f t="shared" si="55"/>
        <v>12941.632532991956</v>
      </c>
      <c r="AM160" s="174">
        <f t="shared" si="55"/>
        <v>16557.068353602906</v>
      </c>
      <c r="AN160" s="174">
        <f t="shared" si="55"/>
        <v>18884.134446457032</v>
      </c>
      <c r="AO160" s="174">
        <f t="shared" ref="AO160:BB160" si="56">AO158/AO154*AO156</f>
        <v>21211.200539311154</v>
      </c>
      <c r="AP160" s="174">
        <f t="shared" si="56"/>
        <v>24800.427553897072</v>
      </c>
      <c r="AQ160" s="174">
        <f t="shared" si="56"/>
        <v>32227.175534884995</v>
      </c>
      <c r="AR160" s="174">
        <f t="shared" si="56"/>
        <v>35170.838274749076</v>
      </c>
      <c r="AS160" s="174">
        <f t="shared" si="56"/>
        <v>44811.540659430473</v>
      </c>
      <c r="AT160" s="174">
        <f t="shared" si="56"/>
        <v>51086.480586160411</v>
      </c>
      <c r="AU160" s="174">
        <f t="shared" si="56"/>
        <v>58295.281653887541</v>
      </c>
      <c r="AV160" s="174">
        <f t="shared" si="56"/>
        <v>76044.160976207684</v>
      </c>
      <c r="AW160" s="174">
        <f t="shared" si="56"/>
        <v>94699.313222656536</v>
      </c>
      <c r="AX160" s="174">
        <f t="shared" si="56"/>
        <v>128464.53184795786</v>
      </c>
      <c r="AY160" s="174">
        <f t="shared" si="56"/>
        <v>175608.6562436161</v>
      </c>
      <c r="AZ160" s="174">
        <f t="shared" si="56"/>
        <v>241464.48873030356</v>
      </c>
      <c r="BA160" s="174">
        <f t="shared" si="56"/>
        <v>429451.97788279515</v>
      </c>
      <c r="BB160" s="174">
        <f t="shared" si="56"/>
        <v>382741.2395531736</v>
      </c>
      <c r="BC160" s="59">
        <f>BC159</f>
        <v>687706</v>
      </c>
      <c r="BD160" s="59">
        <f t="shared" ref="BD160:CB160" si="57">BD159</f>
        <v>887124</v>
      </c>
      <c r="BE160" s="59">
        <f t="shared" si="57"/>
        <v>1133194</v>
      </c>
      <c r="BF160" s="59">
        <f t="shared" si="57"/>
        <v>1445366</v>
      </c>
      <c r="BG160" s="59">
        <f t="shared" si="57"/>
        <v>1931976</v>
      </c>
      <c r="BH160" s="59">
        <f t="shared" si="57"/>
        <v>2532841</v>
      </c>
      <c r="BI160" s="59">
        <f t="shared" si="57"/>
        <v>3130072</v>
      </c>
      <c r="BJ160" s="59">
        <f t="shared" si="57"/>
        <v>3968072</v>
      </c>
      <c r="BK160" s="59">
        <f t="shared" si="57"/>
        <v>5058804</v>
      </c>
      <c r="BL160" s="59">
        <f t="shared" si="57"/>
        <v>5861115</v>
      </c>
      <c r="BM160" s="59">
        <f t="shared" si="57"/>
        <v>6380790</v>
      </c>
      <c r="BN160" s="59">
        <f t="shared" si="57"/>
        <v>6822466</v>
      </c>
      <c r="BO160" s="59">
        <f t="shared" si="57"/>
        <v>7512354</v>
      </c>
      <c r="BP160" s="59">
        <f t="shared" si="57"/>
        <v>8442113</v>
      </c>
      <c r="BQ160" s="59">
        <f t="shared" si="57"/>
        <v>9352717</v>
      </c>
      <c r="BR160" s="59">
        <f t="shared" si="57"/>
        <v>12415409.6707546</v>
      </c>
      <c r="BS160" s="59">
        <f t="shared" si="57"/>
        <v>14547611.888251198</v>
      </c>
      <c r="BT160" s="59">
        <f t="shared" si="57"/>
        <v>16411287.770099999</v>
      </c>
      <c r="BU160" s="59">
        <f t="shared" si="57"/>
        <v>20917944.183699999</v>
      </c>
      <c r="BV160" s="59">
        <f t="shared" si="57"/>
        <v>24938715.493000004</v>
      </c>
      <c r="BW160" s="59">
        <f t="shared" si="57"/>
        <v>28631522.0812</v>
      </c>
      <c r="BX160" s="59">
        <f t="shared" si="57"/>
        <v>34547932.6303</v>
      </c>
      <c r="BY160" s="59">
        <f t="shared" si="57"/>
        <v>40823281.317100003</v>
      </c>
      <c r="BZ160" s="59">
        <f t="shared" si="57"/>
        <v>49001703.271499991</v>
      </c>
      <c r="CA160" s="59">
        <f t="shared" si="57"/>
        <v>51226640.320899993</v>
      </c>
      <c r="CB160" s="59">
        <f t="shared" si="57"/>
        <v>55792908.321992308</v>
      </c>
    </row>
    <row r="161" spans="1:82" s="8" customFormat="1" ht="12.75" customHeight="1" x14ac:dyDescent="0.5">
      <c r="C161" s="42" t="s">
        <v>175</v>
      </c>
      <c r="D161" s="42"/>
    </row>
    <row r="162" spans="1:82" s="30" customFormat="1" ht="12.75" customHeight="1" x14ac:dyDescent="0.55000000000000004">
      <c r="B162" s="30" t="s">
        <v>291</v>
      </c>
      <c r="C162" s="30" t="s">
        <v>176</v>
      </c>
      <c r="M162" s="118"/>
      <c r="N162" s="59">
        <v>10837</v>
      </c>
      <c r="O162" s="59">
        <v>7444</v>
      </c>
      <c r="P162" s="59">
        <v>7851</v>
      </c>
      <c r="Q162" s="59">
        <v>10547</v>
      </c>
      <c r="R162" s="59">
        <v>7131</v>
      </c>
      <c r="S162" s="59">
        <v>4621</v>
      </c>
      <c r="T162" s="59">
        <v>8877</v>
      </c>
      <c r="U162" s="59">
        <v>17695</v>
      </c>
      <c r="V162" s="59">
        <v>39786</v>
      </c>
      <c r="W162" s="59">
        <v>67430</v>
      </c>
      <c r="X162" s="59">
        <v>82878</v>
      </c>
      <c r="Y162" s="59">
        <v>89496</v>
      </c>
      <c r="Z162" s="59">
        <v>20159</v>
      </c>
      <c r="AA162" s="59">
        <v>48434</v>
      </c>
      <c r="AB162" s="59">
        <v>27207</v>
      </c>
      <c r="AC162" s="59">
        <v>3582</v>
      </c>
      <c r="AD162" s="59">
        <v>884</v>
      </c>
      <c r="AE162" s="59">
        <v>2062</v>
      </c>
      <c r="AF162" s="59">
        <v>3224</v>
      </c>
      <c r="AG162" s="59">
        <v>1906</v>
      </c>
      <c r="AH162" s="59">
        <v>874</v>
      </c>
      <c r="AI162" s="59">
        <v>357</v>
      </c>
      <c r="AJ162" s="59">
        <v>654</v>
      </c>
      <c r="AK162" s="59">
        <v>0</v>
      </c>
      <c r="AL162" s="59">
        <v>0</v>
      </c>
      <c r="AM162" s="59">
        <v>60</v>
      </c>
      <c r="AN162" s="59">
        <v>0</v>
      </c>
      <c r="AO162" s="59">
        <v>0</v>
      </c>
      <c r="AP162" s="59">
        <v>1773</v>
      </c>
      <c r="AQ162" s="119"/>
      <c r="AR162" s="119"/>
      <c r="AS162" s="119"/>
      <c r="AT162" s="119"/>
      <c r="AU162" s="119"/>
      <c r="AV162" s="119"/>
      <c r="AW162" s="119"/>
      <c r="AX162" s="61"/>
      <c r="AY162" s="61"/>
      <c r="AZ162" s="61"/>
      <c r="BA162" s="61"/>
      <c r="BB162" s="61"/>
      <c r="BC162" s="61"/>
      <c r="BD162" s="61"/>
      <c r="BE162" s="61"/>
      <c r="BF162" s="61"/>
      <c r="BG162" s="61"/>
      <c r="BH162" s="61"/>
      <c r="BI162" s="61"/>
      <c r="BJ162" s="61"/>
      <c r="BK162" s="61"/>
      <c r="BL162" s="61"/>
      <c r="BM162" s="61"/>
      <c r="BN162" s="61"/>
      <c r="BO162" s="61"/>
      <c r="BP162" s="61"/>
      <c r="BQ162" s="61"/>
      <c r="BR162" s="61"/>
      <c r="BS162" s="61"/>
      <c r="BT162" s="61"/>
      <c r="BU162" s="85"/>
      <c r="BV162" s="85"/>
      <c r="BW162" s="85"/>
      <c r="BX162" s="85">
        <v>8982</v>
      </c>
      <c r="BY162" s="85">
        <v>4938</v>
      </c>
      <c r="BZ162" s="85">
        <v>12773</v>
      </c>
      <c r="CA162" s="85">
        <v>13499</v>
      </c>
      <c r="CB162" s="85">
        <v>4514</v>
      </c>
      <c r="CC162" s="85"/>
      <c r="CD162" s="85"/>
    </row>
    <row r="163" spans="1:82" s="8" customFormat="1" ht="12.75" customHeight="1" x14ac:dyDescent="0.5">
      <c r="C163" s="42" t="s">
        <v>140</v>
      </c>
      <c r="D163" s="42"/>
    </row>
    <row r="164" spans="1:82" s="66" customFormat="1" ht="12.75" customHeight="1" x14ac:dyDescent="0.55000000000000004">
      <c r="A164" s="120" t="s">
        <v>187</v>
      </c>
      <c r="B164" s="120"/>
      <c r="C164" s="66" t="s">
        <v>292</v>
      </c>
      <c r="L164" s="107"/>
      <c r="M164" s="107"/>
      <c r="N164" s="107"/>
      <c r="O164" s="107"/>
      <c r="P164" s="107"/>
      <c r="Q164" s="107"/>
      <c r="R164" s="107"/>
      <c r="S164" s="107"/>
      <c r="T164" s="107"/>
      <c r="U164" s="107"/>
      <c r="V164" s="107"/>
      <c r="W164" s="80"/>
      <c r="X164" s="80"/>
      <c r="Y164" s="171">
        <v>430.09999999999997</v>
      </c>
      <c r="Z164" s="171">
        <v>471.3</v>
      </c>
      <c r="AA164" s="171">
        <v>518.70000000000005</v>
      </c>
      <c r="AB164" s="171">
        <v>592</v>
      </c>
      <c r="AC164" s="171">
        <v>633.70000000000005</v>
      </c>
      <c r="AD164" s="171">
        <v>710.2</v>
      </c>
      <c r="AE164" s="171">
        <v>740.99</v>
      </c>
      <c r="AF164" s="171">
        <v>773.1</v>
      </c>
      <c r="AG164" s="171">
        <v>754.1</v>
      </c>
      <c r="AH164" s="171">
        <v>676.1</v>
      </c>
      <c r="AI164" s="171">
        <v>828</v>
      </c>
      <c r="AJ164" s="171">
        <v>903</v>
      </c>
      <c r="AK164" s="171">
        <v>1004</v>
      </c>
      <c r="AL164" s="171">
        <v>1106.4000000000001</v>
      </c>
      <c r="AM164" s="171">
        <v>1320.3</v>
      </c>
      <c r="AN164" s="171">
        <v>1592.4</v>
      </c>
      <c r="AO164" s="171">
        <v>1954</v>
      </c>
      <c r="AP164" s="171">
        <v>2274</v>
      </c>
      <c r="AQ164" s="171">
        <v>2994</v>
      </c>
      <c r="AR164" s="171">
        <v>3211</v>
      </c>
      <c r="AS164" s="171">
        <v>3367</v>
      </c>
      <c r="AT164" s="171">
        <v>3539</v>
      </c>
      <c r="AU164" s="171">
        <v>3513</v>
      </c>
      <c r="AV164" s="171">
        <v>3562</v>
      </c>
      <c r="AW164" s="171">
        <v>3494</v>
      </c>
      <c r="AX164" s="171">
        <v>3170</v>
      </c>
      <c r="AY164" s="171">
        <v>3159</v>
      </c>
      <c r="AZ164" s="171">
        <v>3160</v>
      </c>
      <c r="BA164" s="171">
        <v>3165</v>
      </c>
      <c r="BB164" s="171">
        <v>3256</v>
      </c>
      <c r="BC164" s="171">
        <v>3379</v>
      </c>
      <c r="BD164" s="171"/>
      <c r="BM164" s="66">
        <v>4382</v>
      </c>
      <c r="BN164" s="66">
        <v>4882</v>
      </c>
      <c r="BO164" s="66">
        <v>5981</v>
      </c>
      <c r="BP164" s="66">
        <v>6563</v>
      </c>
      <c r="BQ164" s="66">
        <v>7083</v>
      </c>
      <c r="BR164" s="66">
        <v>7541</v>
      </c>
      <c r="BS164" s="66">
        <v>7960</v>
      </c>
      <c r="BT164" s="66">
        <v>8317</v>
      </c>
      <c r="BU164" s="66">
        <v>8410</v>
      </c>
      <c r="BV164" s="66">
        <v>8442</v>
      </c>
      <c r="BW164" s="66">
        <v>8419</v>
      </c>
      <c r="BX164" s="66">
        <v>8363</v>
      </c>
      <c r="BY164" s="66">
        <v>8247</v>
      </c>
      <c r="BZ164" s="90">
        <v>8232</v>
      </c>
    </row>
    <row r="165" spans="1:82" s="66" customFormat="1" ht="12.75" customHeight="1" x14ac:dyDescent="0.55000000000000004">
      <c r="B165" s="120"/>
      <c r="C165" s="66" t="s">
        <v>293</v>
      </c>
      <c r="L165" s="107"/>
      <c r="M165" s="107"/>
      <c r="N165" s="107"/>
      <c r="O165" s="107"/>
      <c r="P165" s="107"/>
      <c r="Q165" s="107"/>
      <c r="R165" s="107"/>
      <c r="S165" s="107"/>
      <c r="T165" s="107"/>
      <c r="U165" s="107"/>
      <c r="V165" s="107"/>
      <c r="W165" s="80"/>
      <c r="X165" s="80"/>
      <c r="Y165" s="171"/>
      <c r="Z165" s="171">
        <v>121</v>
      </c>
      <c r="AA165" s="171">
        <v>126</v>
      </c>
      <c r="AB165" s="171">
        <v>136</v>
      </c>
      <c r="AC165" s="171">
        <v>140</v>
      </c>
      <c r="AD165" s="171">
        <v>149</v>
      </c>
      <c r="AE165" s="171">
        <v>155</v>
      </c>
      <c r="AF165" s="171">
        <v>157</v>
      </c>
      <c r="AG165" s="171">
        <v>156</v>
      </c>
      <c r="AH165" s="171">
        <v>158</v>
      </c>
      <c r="AI165" s="171">
        <v>173</v>
      </c>
      <c r="AJ165" s="171">
        <v>190</v>
      </c>
      <c r="AK165" s="171">
        <v>208</v>
      </c>
      <c r="AL165" s="171">
        <v>226</v>
      </c>
      <c r="AM165" s="171">
        <v>248</v>
      </c>
      <c r="AN165" s="171">
        <v>433</v>
      </c>
      <c r="AO165" s="171">
        <v>507</v>
      </c>
      <c r="AP165" s="171">
        <v>543</v>
      </c>
      <c r="AQ165" s="171">
        <v>878</v>
      </c>
      <c r="AR165" s="171">
        <v>540</v>
      </c>
      <c r="AS165" s="171">
        <v>487</v>
      </c>
      <c r="AT165" s="171">
        <v>498</v>
      </c>
      <c r="AU165" s="171">
        <v>497</v>
      </c>
      <c r="AV165" s="171">
        <v>542</v>
      </c>
      <c r="AW165" s="171">
        <v>533</v>
      </c>
      <c r="AX165" s="171">
        <v>525</v>
      </c>
      <c r="AY165" s="171">
        <v>523</v>
      </c>
      <c r="AZ165" s="171">
        <v>548</v>
      </c>
      <c r="BA165" s="171">
        <v>575</v>
      </c>
      <c r="BB165" s="171">
        <v>624</v>
      </c>
      <c r="BC165" s="171">
        <v>617</v>
      </c>
      <c r="BD165" s="171"/>
    </row>
    <row r="166" spans="1:82" s="66" customFormat="1" ht="12.75" customHeight="1" x14ac:dyDescent="0.55000000000000004">
      <c r="B166" s="120"/>
      <c r="C166" s="66" t="s">
        <v>157</v>
      </c>
      <c r="L166" s="107"/>
      <c r="M166" s="107"/>
      <c r="N166" s="107"/>
      <c r="O166" s="107"/>
      <c r="P166" s="107"/>
      <c r="Q166" s="107"/>
      <c r="R166" s="107"/>
      <c r="S166" s="107"/>
      <c r="T166" s="107"/>
      <c r="U166" s="107"/>
      <c r="V166" s="107"/>
      <c r="W166" s="80"/>
      <c r="X166" s="80"/>
      <c r="Y166" s="172"/>
      <c r="Z166" s="171">
        <v>11.3</v>
      </c>
      <c r="AA166" s="171">
        <v>15.7</v>
      </c>
      <c r="AB166" s="171">
        <v>18.399999999999999</v>
      </c>
      <c r="AC166" s="171">
        <v>24.6</v>
      </c>
      <c r="AD166" s="171">
        <v>33.9</v>
      </c>
      <c r="AE166" s="194">
        <v>46.8</v>
      </c>
      <c r="AF166" s="171">
        <v>51.5</v>
      </c>
      <c r="AG166" s="171">
        <v>57.4</v>
      </c>
      <c r="AH166" s="171">
        <v>59.4</v>
      </c>
      <c r="AI166" s="171">
        <v>65.599999999999994</v>
      </c>
      <c r="AJ166" s="171">
        <v>70.5</v>
      </c>
      <c r="AK166" s="171">
        <v>88.7</v>
      </c>
      <c r="AL166" s="171">
        <v>103.8</v>
      </c>
      <c r="AM166" s="171">
        <v>152.69999999999999</v>
      </c>
      <c r="AN166" s="171">
        <v>139</v>
      </c>
      <c r="AO166" s="171">
        <v>157</v>
      </c>
      <c r="AP166" s="171">
        <v>169</v>
      </c>
      <c r="AQ166" s="171"/>
      <c r="AR166" s="171"/>
      <c r="AS166" s="172"/>
      <c r="AT166" s="171"/>
      <c r="AU166" s="171"/>
      <c r="AV166" s="171"/>
      <c r="AW166" s="171"/>
      <c r="AX166" s="171"/>
      <c r="AY166" s="171">
        <v>391</v>
      </c>
      <c r="AZ166" s="171">
        <v>389</v>
      </c>
      <c r="BA166" s="171">
        <v>367</v>
      </c>
      <c r="BB166" s="171">
        <v>287</v>
      </c>
      <c r="BC166" s="171">
        <v>312</v>
      </c>
      <c r="BD166" s="171"/>
    </row>
    <row r="167" spans="1:82" s="66" customFormat="1" ht="12.75" customHeight="1" x14ac:dyDescent="0.55000000000000004">
      <c r="B167" s="120"/>
      <c r="L167" s="107"/>
      <c r="M167" s="107"/>
      <c r="N167" s="107"/>
      <c r="O167" s="107"/>
      <c r="P167" s="107"/>
      <c r="Q167" s="107"/>
      <c r="R167" s="107"/>
      <c r="S167" s="107"/>
      <c r="T167" s="107"/>
      <c r="U167" s="107"/>
      <c r="V167" s="107"/>
      <c r="W167" s="80"/>
      <c r="X167" s="80"/>
      <c r="Y167" s="171"/>
      <c r="Z167" s="171"/>
      <c r="AA167" s="171"/>
      <c r="AB167" s="171"/>
      <c r="AC167" s="171"/>
      <c r="AD167" s="171"/>
      <c r="AE167" s="171"/>
      <c r="AF167" s="171"/>
      <c r="AG167" s="171"/>
      <c r="AH167" s="171"/>
      <c r="AI167" s="171"/>
      <c r="AJ167" s="171"/>
      <c r="AK167" s="171"/>
      <c r="AL167" s="171"/>
      <c r="AM167" s="171"/>
      <c r="AN167" s="171"/>
      <c r="AO167" s="171"/>
      <c r="AP167" s="171"/>
      <c r="AQ167" s="171"/>
      <c r="AR167" s="171"/>
      <c r="AS167" s="171"/>
      <c r="AT167" s="171"/>
      <c r="AU167" s="171"/>
      <c r="AV167" s="171"/>
      <c r="AW167" s="171"/>
      <c r="AX167" s="171"/>
      <c r="AY167" s="171"/>
      <c r="AZ167" s="171"/>
      <c r="BA167" s="171"/>
      <c r="BB167" s="171"/>
      <c r="BC167" s="171"/>
      <c r="BD167" s="171"/>
    </row>
    <row r="168" spans="1:82" s="66" customFormat="1" ht="12.75" customHeight="1" x14ac:dyDescent="0.55000000000000004">
      <c r="B168" s="120"/>
      <c r="C168" s="66" t="s">
        <v>294</v>
      </c>
      <c r="L168" s="107"/>
      <c r="M168" s="107"/>
      <c r="N168" s="107"/>
      <c r="O168" s="107"/>
      <c r="P168" s="107"/>
      <c r="Q168" s="107"/>
      <c r="R168" s="107"/>
      <c r="S168" s="107"/>
      <c r="T168" s="107"/>
      <c r="U168" s="107"/>
      <c r="V168" s="107"/>
      <c r="W168" s="80"/>
      <c r="X168" s="80"/>
      <c r="Y168" s="171"/>
      <c r="Z168" s="171"/>
      <c r="AA168" s="171"/>
      <c r="AB168" s="171"/>
      <c r="AC168" s="171"/>
      <c r="AD168" s="171">
        <f>AD169+AD177</f>
        <v>22.900000000000002</v>
      </c>
      <c r="AE168" s="171">
        <f t="shared" ref="AE168:BC168" si="58">AE169+AE177</f>
        <v>27.2</v>
      </c>
      <c r="AF168" s="171">
        <f t="shared" si="58"/>
        <v>31</v>
      </c>
      <c r="AG168" s="171">
        <f t="shared" si="58"/>
        <v>34.9</v>
      </c>
      <c r="AH168" s="171">
        <f t="shared" si="58"/>
        <v>36.299999999999997</v>
      </c>
      <c r="AI168" s="171">
        <f t="shared" si="58"/>
        <v>39</v>
      </c>
      <c r="AJ168" s="171">
        <f t="shared" si="58"/>
        <v>40.9</v>
      </c>
      <c r="AK168" s="171">
        <f t="shared" si="58"/>
        <v>41.899999999999991</v>
      </c>
      <c r="AL168" s="171">
        <f t="shared" si="58"/>
        <v>44.599999999999994</v>
      </c>
      <c r="AM168" s="171">
        <f t="shared" si="58"/>
        <v>47.300000000000004</v>
      </c>
      <c r="AN168" s="171">
        <f t="shared" si="58"/>
        <v>50.5</v>
      </c>
      <c r="AO168" s="171">
        <f t="shared" si="58"/>
        <v>57.099999999999994</v>
      </c>
      <c r="AP168" s="171">
        <f t="shared" si="58"/>
        <v>61.099999999999994</v>
      </c>
      <c r="AQ168" s="171">
        <f t="shared" si="58"/>
        <v>64.199999999999989</v>
      </c>
      <c r="AR168" s="171">
        <f t="shared" si="58"/>
        <v>69.099999999999994</v>
      </c>
      <c r="AS168" s="171">
        <f t="shared" si="58"/>
        <v>67.3</v>
      </c>
      <c r="AT168" s="171">
        <f t="shared" si="58"/>
        <v>67.599999999999994</v>
      </c>
      <c r="AU168" s="171">
        <f t="shared" si="58"/>
        <v>69.2</v>
      </c>
      <c r="AV168" s="171">
        <f t="shared" si="58"/>
        <v>71.2</v>
      </c>
      <c r="AW168" s="171">
        <f t="shared" si="58"/>
        <v>74.2</v>
      </c>
      <c r="AX168" s="171">
        <f t="shared" si="58"/>
        <v>83.1</v>
      </c>
      <c r="AY168" s="171">
        <f t="shared" si="58"/>
        <v>91.699999999999989</v>
      </c>
      <c r="AZ168" s="171">
        <f t="shared" si="58"/>
        <v>104</v>
      </c>
      <c r="BA168" s="171">
        <f t="shared" si="58"/>
        <v>118.9</v>
      </c>
      <c r="BB168" s="171">
        <f t="shared" si="58"/>
        <v>132.4</v>
      </c>
      <c r="BC168" s="171">
        <f t="shared" si="58"/>
        <v>145.19999999999999</v>
      </c>
      <c r="BD168" s="171"/>
      <c r="BM168" s="66">
        <v>262</v>
      </c>
      <c r="BN168" s="66">
        <v>290</v>
      </c>
      <c r="BO168" s="66">
        <v>323</v>
      </c>
      <c r="BP168" s="66">
        <v>345</v>
      </c>
      <c r="BQ168" s="66">
        <f>BQ169+BQ177</f>
        <v>433</v>
      </c>
      <c r="BR168" s="66">
        <f t="shared" ref="BR168:BZ168" si="59">BR169+BR177</f>
        <v>524</v>
      </c>
      <c r="BS168" s="66">
        <f t="shared" si="59"/>
        <v>677</v>
      </c>
      <c r="BT168" s="66">
        <f t="shared" si="59"/>
        <v>1020</v>
      </c>
      <c r="BU168" s="66">
        <f t="shared" si="59"/>
        <v>1222</v>
      </c>
      <c r="BV168" s="66">
        <f t="shared" si="59"/>
        <v>1467</v>
      </c>
      <c r="BW168" s="66">
        <f t="shared" si="59"/>
        <v>1640</v>
      </c>
      <c r="BX168" s="66">
        <f t="shared" si="59"/>
        <v>1788</v>
      </c>
      <c r="BY168" s="66">
        <f t="shared" si="59"/>
        <v>1884</v>
      </c>
      <c r="BZ168" s="66">
        <f t="shared" si="59"/>
        <v>1804</v>
      </c>
    </row>
    <row r="169" spans="1:82" s="66" customFormat="1" ht="12.75" customHeight="1" x14ac:dyDescent="0.55000000000000004">
      <c r="A169" s="120" t="s">
        <v>187</v>
      </c>
      <c r="B169" s="120"/>
      <c r="C169" s="66" t="s">
        <v>295</v>
      </c>
      <c r="L169" s="107"/>
      <c r="M169" s="107"/>
      <c r="N169" s="107"/>
      <c r="O169" s="107"/>
      <c r="P169" s="107"/>
      <c r="Q169" s="107"/>
      <c r="R169" s="107"/>
      <c r="S169" s="107"/>
      <c r="T169" s="107"/>
      <c r="U169" s="107"/>
      <c r="V169" s="107"/>
      <c r="W169" s="80"/>
      <c r="X169" s="80"/>
      <c r="Y169" s="171"/>
      <c r="Z169" s="171">
        <f t="shared" ref="Z169:AM169" si="60">SUM(Z170:Z175)</f>
        <v>11.799999999999999</v>
      </c>
      <c r="AA169" s="171">
        <f t="shared" si="60"/>
        <v>14.200000000000001</v>
      </c>
      <c r="AB169" s="171">
        <f t="shared" si="60"/>
        <v>17.2</v>
      </c>
      <c r="AC169" s="171">
        <f t="shared" si="60"/>
        <v>19.900000000000002</v>
      </c>
      <c r="AD169" s="171">
        <f t="shared" si="60"/>
        <v>21.900000000000002</v>
      </c>
      <c r="AE169" s="171">
        <f t="shared" si="60"/>
        <v>23.8</v>
      </c>
      <c r="AF169" s="171">
        <f t="shared" si="60"/>
        <v>25.5</v>
      </c>
      <c r="AG169" s="171">
        <f t="shared" si="60"/>
        <v>28</v>
      </c>
      <c r="AH169" s="171">
        <f t="shared" si="60"/>
        <v>29.799999999999997</v>
      </c>
      <c r="AI169" s="171">
        <f t="shared" si="60"/>
        <v>31.2</v>
      </c>
      <c r="AJ169" s="171">
        <f t="shared" si="60"/>
        <v>32.5</v>
      </c>
      <c r="AK169" s="171">
        <f t="shared" si="60"/>
        <v>33.099999999999994</v>
      </c>
      <c r="AL169" s="171">
        <f t="shared" si="60"/>
        <v>34.4</v>
      </c>
      <c r="AM169" s="171">
        <f t="shared" si="60"/>
        <v>35.6</v>
      </c>
      <c r="AN169" s="171">
        <f>SUM(AN170:AN175)</f>
        <v>38.4</v>
      </c>
      <c r="AO169" s="171">
        <v>39.9</v>
      </c>
      <c r="AP169" s="171">
        <v>41.9</v>
      </c>
      <c r="AQ169" s="171">
        <v>41.8</v>
      </c>
      <c r="AR169" s="171">
        <v>40.299999999999997</v>
      </c>
      <c r="AS169" s="171">
        <v>38.799999999999997</v>
      </c>
      <c r="AT169" s="171">
        <v>38.299999999999997</v>
      </c>
      <c r="AU169" s="171">
        <v>39</v>
      </c>
      <c r="AV169" s="171">
        <v>39.700000000000003</v>
      </c>
      <c r="AW169" s="171">
        <v>40.6</v>
      </c>
      <c r="AX169" s="171">
        <v>42.3</v>
      </c>
      <c r="AY169" s="171">
        <v>43.4</v>
      </c>
      <c r="AZ169" s="171">
        <v>45.8</v>
      </c>
      <c r="BA169" s="171">
        <v>50.6</v>
      </c>
      <c r="BB169" s="171">
        <v>57.4</v>
      </c>
      <c r="BC169" s="171">
        <v>61.9</v>
      </c>
      <c r="BD169" s="171"/>
      <c r="BQ169" s="66">
        <f>SUM(BQ170:BQ175)</f>
        <v>265</v>
      </c>
      <c r="BR169" s="66">
        <f t="shared" ref="BR169:BZ169" si="61">SUM(BR170:BR175)</f>
        <v>355</v>
      </c>
      <c r="BS169" s="66">
        <f t="shared" si="61"/>
        <v>491</v>
      </c>
      <c r="BT169" s="66">
        <f t="shared" si="61"/>
        <v>829</v>
      </c>
      <c r="BU169" s="66">
        <f t="shared" si="61"/>
        <v>1036</v>
      </c>
      <c r="BV169" s="66">
        <f t="shared" si="61"/>
        <v>1294</v>
      </c>
      <c r="BW169" s="66">
        <f t="shared" si="61"/>
        <v>1402</v>
      </c>
      <c r="BX169" s="66">
        <f t="shared" si="61"/>
        <v>1515</v>
      </c>
      <c r="BY169" s="66">
        <f t="shared" si="61"/>
        <v>1603</v>
      </c>
      <c r="BZ169" s="66">
        <f t="shared" si="61"/>
        <v>1509</v>
      </c>
    </row>
    <row r="170" spans="1:82" s="66" customFormat="1" ht="12.75" customHeight="1" x14ac:dyDescent="0.55000000000000004">
      <c r="C170" s="94" t="s">
        <v>160</v>
      </c>
      <c r="L170" s="107"/>
      <c r="M170" s="107"/>
      <c r="N170" s="107"/>
      <c r="O170" s="107"/>
      <c r="P170" s="107"/>
      <c r="Q170" s="107"/>
      <c r="R170" s="107"/>
      <c r="S170" s="107"/>
      <c r="T170" s="107"/>
      <c r="U170" s="107"/>
      <c r="V170" s="107"/>
      <c r="W170" s="80"/>
      <c r="X170" s="80"/>
      <c r="Y170" s="171"/>
      <c r="Z170" s="171">
        <v>4.2</v>
      </c>
      <c r="AA170" s="171">
        <v>4.8</v>
      </c>
      <c r="AB170" s="171">
        <v>5</v>
      </c>
      <c r="AC170" s="171">
        <v>5.3</v>
      </c>
      <c r="AD170" s="171">
        <v>5.9</v>
      </c>
      <c r="AE170" s="171">
        <v>6.4</v>
      </c>
      <c r="AF170" s="171">
        <v>6.6</v>
      </c>
      <c r="AG170" s="171">
        <v>7</v>
      </c>
      <c r="AH170" s="171">
        <v>7.1</v>
      </c>
      <c r="AI170" s="171">
        <v>7.4</v>
      </c>
      <c r="AJ170" s="171">
        <v>7.6</v>
      </c>
      <c r="AK170" s="171">
        <v>7.7</v>
      </c>
      <c r="AL170" s="171">
        <v>7.9</v>
      </c>
      <c r="AM170" s="171">
        <v>8.1999999999999993</v>
      </c>
      <c r="AN170" s="171">
        <v>8.6</v>
      </c>
      <c r="AO170" s="171">
        <v>8.6</v>
      </c>
      <c r="AP170" s="171">
        <v>9.1999999999999993</v>
      </c>
      <c r="AQ170" s="171">
        <v>8.8000000000000007</v>
      </c>
      <c r="AR170" s="171">
        <v>8.8000000000000007</v>
      </c>
      <c r="AS170" s="171">
        <v>8.8000000000000007</v>
      </c>
      <c r="AT170" s="171">
        <v>8.8000000000000007</v>
      </c>
      <c r="AU170" s="171">
        <v>9.1</v>
      </c>
      <c r="AV170" s="171">
        <v>9.3000000000000007</v>
      </c>
      <c r="AW170" s="171">
        <v>9.6999999999999993</v>
      </c>
      <c r="AX170" s="171">
        <v>10.1</v>
      </c>
      <c r="AY170" s="171">
        <v>10.8</v>
      </c>
      <c r="AZ170" s="171">
        <v>11.6</v>
      </c>
      <c r="BA170" s="171">
        <v>14.8</v>
      </c>
      <c r="BB170" s="171">
        <v>16</v>
      </c>
      <c r="BC170" s="171">
        <v>16.8</v>
      </c>
      <c r="BD170" s="171"/>
      <c r="BM170" s="69">
        <v>238</v>
      </c>
      <c r="BN170" s="69">
        <v>265</v>
      </c>
      <c r="BO170" s="69">
        <v>297</v>
      </c>
      <c r="BP170" s="69">
        <v>319</v>
      </c>
      <c r="BQ170" s="66">
        <v>249</v>
      </c>
      <c r="BR170" s="66">
        <v>337</v>
      </c>
      <c r="BS170" s="66">
        <v>463</v>
      </c>
      <c r="BT170" s="66">
        <v>796</v>
      </c>
      <c r="BU170" s="66">
        <v>999</v>
      </c>
      <c r="BV170" s="66">
        <v>1250</v>
      </c>
      <c r="BW170" s="66">
        <v>1355</v>
      </c>
      <c r="BX170" s="66">
        <v>1460</v>
      </c>
      <c r="BY170" s="66">
        <v>1543</v>
      </c>
      <c r="BZ170" s="66">
        <v>1451</v>
      </c>
    </row>
    <row r="171" spans="1:82" s="66" customFormat="1" ht="12.75" customHeight="1" x14ac:dyDescent="0.55000000000000004">
      <c r="C171" s="94" t="s">
        <v>161</v>
      </c>
      <c r="L171" s="107"/>
      <c r="M171" s="107"/>
      <c r="N171" s="107"/>
      <c r="O171" s="107"/>
      <c r="P171" s="107"/>
      <c r="Q171" s="107"/>
      <c r="R171" s="107"/>
      <c r="S171" s="107"/>
      <c r="T171" s="107"/>
      <c r="U171" s="107"/>
      <c r="V171" s="107"/>
      <c r="W171" s="80"/>
      <c r="X171" s="80"/>
      <c r="Y171" s="171"/>
      <c r="Z171" s="171">
        <v>3.5</v>
      </c>
      <c r="AA171" s="171">
        <v>4</v>
      </c>
      <c r="AB171" s="171">
        <v>4.8</v>
      </c>
      <c r="AC171" s="171">
        <v>5</v>
      </c>
      <c r="AD171" s="171">
        <v>5.2</v>
      </c>
      <c r="AE171" s="171">
        <v>6</v>
      </c>
      <c r="AF171" s="171">
        <v>6.4</v>
      </c>
      <c r="AG171" s="171">
        <v>6.7</v>
      </c>
      <c r="AH171" s="171">
        <v>7.1</v>
      </c>
      <c r="AI171" s="171">
        <v>7.1</v>
      </c>
      <c r="AJ171" s="171">
        <v>7.6</v>
      </c>
      <c r="AK171" s="171">
        <v>7.7</v>
      </c>
      <c r="AL171" s="171">
        <v>7.8</v>
      </c>
      <c r="AM171" s="171">
        <v>7.9</v>
      </c>
      <c r="AN171" s="171">
        <v>9</v>
      </c>
      <c r="AO171" s="171"/>
      <c r="AP171" s="171"/>
      <c r="AQ171" s="171"/>
      <c r="AR171" s="171">
        <v>8.8000000000000007</v>
      </c>
      <c r="AS171" s="171">
        <v>8.6</v>
      </c>
      <c r="AT171" s="171">
        <v>8.5</v>
      </c>
      <c r="AU171" s="171">
        <v>8.8000000000000007</v>
      </c>
      <c r="AV171" s="171">
        <v>9</v>
      </c>
      <c r="AW171" s="171">
        <v>9.1999999999999993</v>
      </c>
      <c r="AX171" s="171">
        <v>9.8000000000000007</v>
      </c>
      <c r="AY171" s="171">
        <v>9.9</v>
      </c>
      <c r="AZ171" s="171">
        <v>10.9</v>
      </c>
      <c r="BA171" s="171">
        <v>11.2</v>
      </c>
      <c r="BB171" s="171">
        <v>14.8</v>
      </c>
      <c r="BC171" s="171">
        <v>16</v>
      </c>
      <c r="BD171" s="171">
        <v>16</v>
      </c>
    </row>
    <row r="172" spans="1:82" s="66" customFormat="1" ht="12.75" customHeight="1" x14ac:dyDescent="0.55000000000000004">
      <c r="C172" s="94" t="s">
        <v>162</v>
      </c>
      <c r="L172" s="107"/>
      <c r="M172" s="107"/>
      <c r="N172" s="107"/>
      <c r="O172" s="107"/>
      <c r="P172" s="107"/>
      <c r="Q172" s="107"/>
      <c r="R172" s="107"/>
      <c r="S172" s="107"/>
      <c r="T172" s="107"/>
      <c r="U172" s="107"/>
      <c r="V172" s="107"/>
      <c r="W172" s="80"/>
      <c r="X172" s="80"/>
      <c r="Y172" s="171"/>
      <c r="Z172" s="171">
        <v>2.1</v>
      </c>
      <c r="AA172" s="171">
        <v>2.9</v>
      </c>
      <c r="AB172" s="171">
        <v>3.7</v>
      </c>
      <c r="AC172" s="171">
        <v>4.9000000000000004</v>
      </c>
      <c r="AD172" s="171">
        <v>4.9000000000000004</v>
      </c>
      <c r="AE172" s="171">
        <v>5.0999999999999996</v>
      </c>
      <c r="AF172" s="171">
        <v>5.8</v>
      </c>
      <c r="AG172" s="171">
        <v>6.4</v>
      </c>
      <c r="AH172" s="171">
        <v>6.7</v>
      </c>
      <c r="AI172" s="171">
        <v>7.1</v>
      </c>
      <c r="AJ172" s="171">
        <v>7.3</v>
      </c>
      <c r="AK172" s="171">
        <v>7.5</v>
      </c>
      <c r="AL172" s="171">
        <v>7.8</v>
      </c>
      <c r="AM172" s="171">
        <v>7.9</v>
      </c>
      <c r="AN172" s="171">
        <v>8.8000000000000007</v>
      </c>
      <c r="AO172" s="171"/>
      <c r="AP172" s="171"/>
      <c r="AQ172" s="171"/>
      <c r="AR172" s="171">
        <v>9.5</v>
      </c>
      <c r="AS172" s="171">
        <v>8.6</v>
      </c>
      <c r="AT172" s="171">
        <v>8.5</v>
      </c>
      <c r="AU172" s="171">
        <v>8.8000000000000007</v>
      </c>
      <c r="AV172" s="171">
        <v>8.6999999999999993</v>
      </c>
      <c r="AW172" s="171">
        <v>8.9</v>
      </c>
      <c r="AX172" s="171">
        <v>9.1</v>
      </c>
      <c r="AY172" s="171">
        <v>9.4</v>
      </c>
      <c r="AZ172" s="171">
        <v>9.5</v>
      </c>
      <c r="BA172" s="171">
        <v>10.4</v>
      </c>
      <c r="BB172" s="171">
        <v>11.3</v>
      </c>
      <c r="BC172" s="171">
        <v>14.8</v>
      </c>
      <c r="BD172" s="171">
        <v>15.9</v>
      </c>
    </row>
    <row r="173" spans="1:82" s="66" customFormat="1" ht="12.75" customHeight="1" x14ac:dyDescent="0.55000000000000004">
      <c r="C173" s="94" t="s">
        <v>163</v>
      </c>
      <c r="L173" s="107"/>
      <c r="M173" s="107"/>
      <c r="N173" s="107"/>
      <c r="O173" s="107"/>
      <c r="P173" s="107"/>
      <c r="Q173" s="107"/>
      <c r="R173" s="107"/>
      <c r="S173" s="107"/>
      <c r="T173" s="107"/>
      <c r="U173" s="107"/>
      <c r="V173" s="107"/>
      <c r="W173" s="80"/>
      <c r="X173" s="80"/>
      <c r="Y173" s="171"/>
      <c r="Z173" s="171">
        <v>1.6</v>
      </c>
      <c r="AA173" s="171">
        <v>2</v>
      </c>
      <c r="AB173" s="171">
        <v>2.9</v>
      </c>
      <c r="AC173" s="171">
        <v>3.6</v>
      </c>
      <c r="AD173" s="171">
        <v>4.5</v>
      </c>
      <c r="AE173" s="171">
        <v>4.7</v>
      </c>
      <c r="AF173" s="171">
        <v>5</v>
      </c>
      <c r="AG173" s="171">
        <v>5.8</v>
      </c>
      <c r="AH173" s="171">
        <v>6.3</v>
      </c>
      <c r="AI173" s="171">
        <v>6.7</v>
      </c>
      <c r="AJ173" s="171">
        <v>7</v>
      </c>
      <c r="AK173" s="171">
        <v>7</v>
      </c>
      <c r="AL173" s="171">
        <v>7.4</v>
      </c>
      <c r="AM173" s="171">
        <v>7.8</v>
      </c>
      <c r="AN173" s="171">
        <v>8.1999999999999993</v>
      </c>
      <c r="AO173" s="171">
        <v>8.6999999999999993</v>
      </c>
      <c r="AP173" s="171">
        <v>9.6</v>
      </c>
      <c r="AQ173" s="171"/>
      <c r="AR173" s="171">
        <v>9.8000000000000007</v>
      </c>
      <c r="AS173" s="171">
        <v>9.3000000000000007</v>
      </c>
      <c r="AT173" s="171">
        <v>8.5</v>
      </c>
      <c r="AU173" s="171">
        <v>8.4</v>
      </c>
      <c r="AV173" s="171">
        <v>8.5</v>
      </c>
      <c r="AW173" s="171">
        <v>8.5</v>
      </c>
      <c r="AX173" s="171">
        <v>8.8000000000000007</v>
      </c>
      <c r="AY173" s="171">
        <v>8.6999999999999993</v>
      </c>
      <c r="AZ173" s="171">
        <v>9.1999999999999993</v>
      </c>
      <c r="BA173" s="171">
        <v>9.1999999999999993</v>
      </c>
      <c r="BB173" s="171">
        <v>10</v>
      </c>
      <c r="BC173" s="171">
        <v>11.3</v>
      </c>
      <c r="BD173" s="171">
        <v>10.7</v>
      </c>
    </row>
    <row r="174" spans="1:82" s="66" customFormat="1" ht="12.75" customHeight="1" x14ac:dyDescent="0.55000000000000004">
      <c r="C174" s="94" t="s">
        <v>164</v>
      </c>
      <c r="L174" s="107"/>
      <c r="M174" s="107"/>
      <c r="N174" s="107"/>
      <c r="O174" s="107"/>
      <c r="P174" s="107"/>
      <c r="Q174" s="107"/>
      <c r="R174" s="107"/>
      <c r="S174" s="107"/>
      <c r="T174" s="107"/>
      <c r="U174" s="107"/>
      <c r="V174" s="107"/>
      <c r="W174" s="80"/>
      <c r="X174" s="80"/>
      <c r="Y174" s="171"/>
      <c r="Z174" s="171">
        <v>0.2</v>
      </c>
      <c r="AA174" s="171">
        <v>0.3</v>
      </c>
      <c r="AB174" s="171">
        <v>0.5</v>
      </c>
      <c r="AC174" s="171">
        <v>0.6</v>
      </c>
      <c r="AD174" s="171">
        <v>0.8</v>
      </c>
      <c r="AE174" s="171">
        <v>0.8</v>
      </c>
      <c r="AF174" s="171">
        <v>0.9</v>
      </c>
      <c r="AG174" s="171">
        <v>1.2</v>
      </c>
      <c r="AH174" s="171">
        <v>1.4</v>
      </c>
      <c r="AI174" s="171">
        <v>1.5</v>
      </c>
      <c r="AJ174" s="171">
        <v>1.6</v>
      </c>
      <c r="AK174" s="171">
        <v>1.7</v>
      </c>
      <c r="AL174" s="171">
        <v>1.8</v>
      </c>
      <c r="AM174" s="171">
        <v>1.9</v>
      </c>
      <c r="AN174" s="171">
        <v>1.9</v>
      </c>
      <c r="AO174" s="171">
        <v>1.9</v>
      </c>
      <c r="AP174" s="171">
        <v>2.1</v>
      </c>
      <c r="AQ174" s="171"/>
      <c r="AR174" s="171">
        <v>1.7</v>
      </c>
      <c r="AS174" s="171">
        <v>1.8</v>
      </c>
      <c r="AT174" s="171">
        <v>1.8</v>
      </c>
      <c r="AU174" s="171">
        <v>2.1</v>
      </c>
      <c r="AV174" s="171">
        <v>2.1</v>
      </c>
      <c r="AW174" s="171">
        <v>2.2000000000000002</v>
      </c>
      <c r="AX174" s="171">
        <v>2.1</v>
      </c>
      <c r="AY174" s="171">
        <v>2.4</v>
      </c>
      <c r="AZ174" s="171">
        <v>2.2999999999999998</v>
      </c>
      <c r="BA174" s="171">
        <v>2.2999999999999998</v>
      </c>
      <c r="BB174" s="171">
        <v>3</v>
      </c>
      <c r="BC174" s="171">
        <v>3</v>
      </c>
      <c r="BD174" s="171">
        <v>3.4</v>
      </c>
      <c r="BQ174" s="66">
        <v>16</v>
      </c>
      <c r="BR174" s="66">
        <v>18</v>
      </c>
      <c r="BS174" s="66">
        <v>28</v>
      </c>
      <c r="BT174" s="66">
        <v>33</v>
      </c>
      <c r="BU174" s="66">
        <v>37</v>
      </c>
      <c r="BV174" s="66">
        <v>44</v>
      </c>
      <c r="BW174" s="66">
        <v>47</v>
      </c>
      <c r="BX174" s="66">
        <v>55</v>
      </c>
      <c r="BY174" s="66">
        <v>60</v>
      </c>
      <c r="BZ174" s="66">
        <v>58</v>
      </c>
    </row>
    <row r="175" spans="1:82" s="66" customFormat="1" ht="12.75" customHeight="1" x14ac:dyDescent="0.55000000000000004">
      <c r="C175" s="94" t="s">
        <v>165</v>
      </c>
      <c r="L175" s="107"/>
      <c r="M175" s="107"/>
      <c r="N175" s="107"/>
      <c r="O175" s="107"/>
      <c r="P175" s="107"/>
      <c r="Q175" s="107"/>
      <c r="R175" s="107"/>
      <c r="S175" s="107"/>
      <c r="T175" s="107"/>
      <c r="U175" s="107"/>
      <c r="V175" s="107"/>
      <c r="W175" s="80"/>
      <c r="X175" s="80"/>
      <c r="Y175" s="171"/>
      <c r="Z175" s="171">
        <v>0.2</v>
      </c>
      <c r="AA175" s="171">
        <v>0.2</v>
      </c>
      <c r="AB175" s="171">
        <v>0.3</v>
      </c>
      <c r="AC175" s="171">
        <v>0.5</v>
      </c>
      <c r="AD175" s="171">
        <v>0.6</v>
      </c>
      <c r="AE175" s="171">
        <v>0.8</v>
      </c>
      <c r="AF175" s="171">
        <v>0.8</v>
      </c>
      <c r="AG175" s="171">
        <v>0.9</v>
      </c>
      <c r="AH175" s="171">
        <v>1.2</v>
      </c>
      <c r="AI175" s="171">
        <v>1.4</v>
      </c>
      <c r="AJ175" s="171">
        <v>1.4</v>
      </c>
      <c r="AK175" s="171">
        <v>1.5</v>
      </c>
      <c r="AL175" s="171">
        <v>1.7</v>
      </c>
      <c r="AM175" s="171">
        <v>1.9</v>
      </c>
      <c r="AN175" s="171">
        <v>1.9</v>
      </c>
      <c r="AO175" s="171">
        <v>1.8</v>
      </c>
      <c r="AP175" s="171">
        <v>2</v>
      </c>
      <c r="AQ175" s="171"/>
      <c r="AR175" s="171">
        <v>1.7</v>
      </c>
      <c r="AS175" s="171">
        <v>1.6</v>
      </c>
      <c r="AT175" s="171">
        <v>1.7</v>
      </c>
      <c r="AU175" s="171">
        <v>1.8</v>
      </c>
      <c r="AV175" s="171">
        <v>2.1</v>
      </c>
      <c r="AW175" s="171">
        <v>2.1</v>
      </c>
      <c r="AX175" s="171">
        <v>2.1</v>
      </c>
      <c r="AY175" s="171">
        <v>2.2999999999999998</v>
      </c>
      <c r="AZ175" s="171">
        <v>2.2999999999999998</v>
      </c>
      <c r="BA175" s="171">
        <v>2.2000000000000002</v>
      </c>
      <c r="BB175" s="171">
        <v>2.4</v>
      </c>
      <c r="BC175" s="171">
        <v>2.4</v>
      </c>
      <c r="BD175" s="171">
        <v>2.8</v>
      </c>
    </row>
    <row r="176" spans="1:82" s="66" customFormat="1" ht="12.75" customHeight="1" x14ac:dyDescent="0.55000000000000004">
      <c r="C176" s="99"/>
      <c r="L176" s="107"/>
      <c r="M176" s="107"/>
      <c r="N176" s="107"/>
      <c r="O176" s="107"/>
      <c r="P176" s="107"/>
      <c r="Q176" s="107"/>
      <c r="R176" s="107"/>
      <c r="S176" s="107"/>
      <c r="T176" s="107"/>
      <c r="U176" s="107"/>
      <c r="V176" s="107"/>
      <c r="W176" s="80"/>
      <c r="X176" s="80"/>
      <c r="Y176" s="171"/>
      <c r="Z176" s="171"/>
      <c r="AA176" s="171"/>
      <c r="AB176" s="171"/>
      <c r="AC176" s="171"/>
      <c r="AD176" s="171"/>
      <c r="AE176" s="171"/>
      <c r="AF176" s="171"/>
      <c r="AG176" s="171"/>
      <c r="AH176" s="171"/>
      <c r="AI176" s="171"/>
      <c r="AJ176" s="171"/>
      <c r="AK176" s="171"/>
      <c r="AL176" s="171"/>
      <c r="AM176" s="171"/>
      <c r="AN176" s="171"/>
      <c r="AO176" s="171"/>
      <c r="AP176" s="171"/>
      <c r="AQ176" s="171"/>
      <c r="AR176" s="171"/>
      <c r="AS176" s="171"/>
      <c r="AT176" s="171"/>
      <c r="AU176" s="171"/>
      <c r="AV176" s="171"/>
      <c r="AW176" s="171"/>
      <c r="AX176" s="171"/>
      <c r="AY176" s="171"/>
      <c r="AZ176" s="171"/>
      <c r="BA176" s="171"/>
      <c r="BB176" s="171"/>
      <c r="BC176" s="171"/>
      <c r="BD176" s="171"/>
    </row>
    <row r="177" spans="1:78" s="66" customFormat="1" ht="12.75" customHeight="1" x14ac:dyDescent="0.55000000000000004">
      <c r="A177" s="120" t="s">
        <v>187</v>
      </c>
      <c r="B177" s="120"/>
      <c r="C177" s="66" t="s">
        <v>296</v>
      </c>
      <c r="L177" s="107"/>
      <c r="M177" s="107"/>
      <c r="N177" s="107"/>
      <c r="O177" s="107"/>
      <c r="P177" s="107"/>
      <c r="Q177" s="107"/>
      <c r="R177" s="107"/>
      <c r="S177" s="107"/>
      <c r="T177" s="107"/>
      <c r="U177" s="107"/>
      <c r="V177" s="107"/>
      <c r="W177" s="80"/>
      <c r="X177" s="80"/>
      <c r="Y177" s="171"/>
      <c r="Z177" s="171"/>
      <c r="AA177" s="171"/>
      <c r="AB177" s="171"/>
      <c r="AC177" s="171"/>
      <c r="AD177" s="171">
        <f>AD178+AD179+AD180</f>
        <v>1</v>
      </c>
      <c r="AE177" s="171">
        <f t="shared" ref="AE177:AN177" si="62">AE178+AE179+AE180</f>
        <v>3.4</v>
      </c>
      <c r="AF177" s="171">
        <f t="shared" si="62"/>
        <v>5.5000000000000009</v>
      </c>
      <c r="AG177" s="171">
        <f t="shared" si="62"/>
        <v>6.9</v>
      </c>
      <c r="AH177" s="171">
        <f t="shared" si="62"/>
        <v>6.5</v>
      </c>
      <c r="AI177" s="171">
        <f t="shared" si="62"/>
        <v>7.8</v>
      </c>
      <c r="AJ177" s="171">
        <f t="shared" si="62"/>
        <v>8.4</v>
      </c>
      <c r="AK177" s="171">
        <f t="shared" si="62"/>
        <v>8.8000000000000007</v>
      </c>
      <c r="AL177" s="171">
        <f t="shared" si="62"/>
        <v>10.199999999999999</v>
      </c>
      <c r="AM177" s="171">
        <f t="shared" si="62"/>
        <v>11.700000000000001</v>
      </c>
      <c r="AN177" s="171">
        <f t="shared" si="62"/>
        <v>12.1</v>
      </c>
      <c r="AO177" s="171">
        <v>17.2</v>
      </c>
      <c r="AP177" s="171">
        <v>19.2</v>
      </c>
      <c r="AQ177" s="171">
        <v>22.4</v>
      </c>
      <c r="AR177" s="171">
        <v>28.8</v>
      </c>
      <c r="AS177" s="171">
        <v>28.5</v>
      </c>
      <c r="AT177" s="171">
        <v>29.3</v>
      </c>
      <c r="AU177" s="171">
        <v>30.2</v>
      </c>
      <c r="AV177" s="171">
        <v>31.5</v>
      </c>
      <c r="AW177" s="171">
        <v>33.6</v>
      </c>
      <c r="AX177" s="171">
        <v>40.799999999999997</v>
      </c>
      <c r="AY177" s="171">
        <v>48.3</v>
      </c>
      <c r="AZ177" s="171">
        <v>58.2</v>
      </c>
      <c r="BA177" s="171">
        <v>68.3</v>
      </c>
      <c r="BB177" s="171">
        <v>75</v>
      </c>
      <c r="BC177" s="171">
        <v>83.3</v>
      </c>
      <c r="BD177" s="171"/>
      <c r="BQ177" s="66">
        <f>SUM(BQ178:BQ183)</f>
        <v>168</v>
      </c>
      <c r="BR177" s="66">
        <f t="shared" ref="BR177:BZ177" si="63">SUM(BR178:BR183)</f>
        <v>169</v>
      </c>
      <c r="BS177" s="66">
        <f t="shared" si="63"/>
        <v>186</v>
      </c>
      <c r="BT177" s="66">
        <f t="shared" si="63"/>
        <v>191</v>
      </c>
      <c r="BU177" s="66">
        <f t="shared" si="63"/>
        <v>186</v>
      </c>
      <c r="BV177" s="66">
        <f t="shared" si="63"/>
        <v>173</v>
      </c>
      <c r="BW177" s="66">
        <f t="shared" si="63"/>
        <v>238</v>
      </c>
      <c r="BX177" s="66">
        <f t="shared" si="63"/>
        <v>273</v>
      </c>
      <c r="BY177" s="66">
        <f t="shared" si="63"/>
        <v>281</v>
      </c>
      <c r="BZ177" s="66">
        <f t="shared" si="63"/>
        <v>295</v>
      </c>
    </row>
    <row r="178" spans="1:78" s="66" customFormat="1" ht="12.75" customHeight="1" x14ac:dyDescent="0.55000000000000004">
      <c r="C178" s="94" t="s">
        <v>160</v>
      </c>
      <c r="L178" s="107"/>
      <c r="M178" s="107"/>
      <c r="N178" s="107"/>
      <c r="O178" s="107"/>
      <c r="P178" s="107"/>
      <c r="Q178" s="107"/>
      <c r="R178" s="107"/>
      <c r="S178" s="107"/>
      <c r="T178" s="107"/>
      <c r="U178" s="107"/>
      <c r="V178" s="107"/>
      <c r="W178" s="80"/>
      <c r="X178" s="80"/>
      <c r="Y178" s="171"/>
      <c r="Z178" s="171"/>
      <c r="AA178" s="171"/>
      <c r="AB178" s="171"/>
      <c r="AC178" s="171"/>
      <c r="AD178" s="171">
        <v>0.5</v>
      </c>
      <c r="AE178" s="171">
        <v>2.2999999999999998</v>
      </c>
      <c r="AF178" s="171">
        <v>2.6</v>
      </c>
      <c r="AG178" s="171">
        <v>2.6</v>
      </c>
      <c r="AH178" s="171">
        <v>2.5</v>
      </c>
      <c r="AI178" s="171">
        <v>3</v>
      </c>
      <c r="AJ178" s="171">
        <v>3.2</v>
      </c>
      <c r="AK178" s="171">
        <v>3.7</v>
      </c>
      <c r="AL178" s="171">
        <v>4.4000000000000004</v>
      </c>
      <c r="AM178" s="171">
        <v>4.9000000000000004</v>
      </c>
      <c r="AN178" s="171">
        <v>5.0999999999999996</v>
      </c>
      <c r="AO178" s="171">
        <v>5.8</v>
      </c>
      <c r="AP178" s="171">
        <v>6.6</v>
      </c>
      <c r="AQ178" s="171">
        <v>7.2</v>
      </c>
      <c r="AR178" s="171">
        <v>8.5</v>
      </c>
      <c r="AS178" s="171">
        <v>6.7</v>
      </c>
      <c r="AT178" s="171">
        <v>7.1</v>
      </c>
      <c r="AU178" s="171">
        <v>8</v>
      </c>
      <c r="AV178" s="171">
        <v>8.5</v>
      </c>
      <c r="AW178" s="171">
        <v>9.1</v>
      </c>
      <c r="AX178" s="171">
        <v>11</v>
      </c>
      <c r="AY178" s="171">
        <v>12.6</v>
      </c>
      <c r="AZ178" s="171">
        <v>15.7</v>
      </c>
      <c r="BA178" s="171">
        <v>18</v>
      </c>
      <c r="BB178" s="171">
        <v>20.8</v>
      </c>
      <c r="BC178" s="171">
        <v>23.6</v>
      </c>
      <c r="BD178" s="171">
        <v>26.7</v>
      </c>
      <c r="BQ178" s="66">
        <v>153</v>
      </c>
      <c r="BR178" s="66">
        <v>153</v>
      </c>
      <c r="BS178" s="66">
        <v>168</v>
      </c>
      <c r="BT178" s="66">
        <v>171</v>
      </c>
      <c r="BU178" s="66">
        <v>165</v>
      </c>
      <c r="BV178" s="66">
        <v>152</v>
      </c>
      <c r="BW178" s="66">
        <v>212</v>
      </c>
      <c r="BX178" s="66">
        <v>250</v>
      </c>
      <c r="BY178" s="66">
        <v>260</v>
      </c>
      <c r="BZ178" s="66">
        <v>278</v>
      </c>
    </row>
    <row r="179" spans="1:78" s="66" customFormat="1" ht="12.75" customHeight="1" x14ac:dyDescent="0.55000000000000004">
      <c r="C179" s="94" t="s">
        <v>161</v>
      </c>
      <c r="L179" s="107"/>
      <c r="M179" s="107"/>
      <c r="N179" s="107"/>
      <c r="O179" s="107"/>
      <c r="P179" s="107"/>
      <c r="Q179" s="107"/>
      <c r="R179" s="107"/>
      <c r="S179" s="107"/>
      <c r="T179" s="107"/>
      <c r="U179" s="107"/>
      <c r="V179" s="107"/>
      <c r="W179" s="80"/>
      <c r="X179" s="80"/>
      <c r="Y179" s="171"/>
      <c r="Z179" s="171"/>
      <c r="AA179" s="171"/>
      <c r="AB179" s="171"/>
      <c r="AC179" s="171"/>
      <c r="AD179" s="171">
        <v>0.3</v>
      </c>
      <c r="AE179" s="171">
        <v>0.7</v>
      </c>
      <c r="AF179" s="171">
        <v>2.2000000000000002</v>
      </c>
      <c r="AG179" s="171">
        <v>2.4</v>
      </c>
      <c r="AH179" s="171">
        <v>2.1</v>
      </c>
      <c r="AI179" s="171">
        <v>2.6</v>
      </c>
      <c r="AJ179" s="171">
        <v>2.8</v>
      </c>
      <c r="AK179" s="171">
        <v>2.8</v>
      </c>
      <c r="AL179" s="171">
        <v>3.3</v>
      </c>
      <c r="AM179" s="171">
        <v>3.9</v>
      </c>
      <c r="AN179" s="171">
        <v>4</v>
      </c>
      <c r="AO179" s="171"/>
      <c r="AP179" s="171"/>
      <c r="AQ179" s="171"/>
      <c r="AR179" s="171">
        <v>7.9</v>
      </c>
      <c r="AS179" s="171">
        <v>8.5</v>
      </c>
      <c r="AT179" s="171">
        <v>6.9</v>
      </c>
      <c r="AU179" s="171">
        <v>7.2</v>
      </c>
      <c r="AV179" s="171">
        <v>8.1999999999999993</v>
      </c>
      <c r="AW179" s="171">
        <v>8.9</v>
      </c>
      <c r="AX179" s="171">
        <v>10.6</v>
      </c>
      <c r="AY179" s="171">
        <v>12.4</v>
      </c>
      <c r="AZ179" s="171">
        <v>15.5</v>
      </c>
      <c r="BA179" s="171">
        <v>18.899999999999999</v>
      </c>
      <c r="BB179" s="171">
        <v>19.3</v>
      </c>
      <c r="BC179" s="171">
        <v>21.9</v>
      </c>
      <c r="BD179" s="171">
        <v>24.8</v>
      </c>
      <c r="BE179" s="107"/>
    </row>
    <row r="180" spans="1:78" s="66" customFormat="1" ht="12.75" customHeight="1" x14ac:dyDescent="0.55000000000000004">
      <c r="C180" s="94" t="s">
        <v>162</v>
      </c>
      <c r="L180" s="107"/>
      <c r="M180" s="107"/>
      <c r="N180" s="107"/>
      <c r="O180" s="107"/>
      <c r="P180" s="107"/>
      <c r="Q180" s="107"/>
      <c r="R180" s="107"/>
      <c r="S180" s="107"/>
      <c r="T180" s="107"/>
      <c r="U180" s="107"/>
      <c r="V180" s="107"/>
      <c r="W180" s="80"/>
      <c r="X180" s="80"/>
      <c r="Y180" s="171"/>
      <c r="Z180" s="171"/>
      <c r="AA180" s="171"/>
      <c r="AB180" s="171"/>
      <c r="AC180" s="171"/>
      <c r="AD180" s="171">
        <v>0.2</v>
      </c>
      <c r="AE180" s="171">
        <v>0.4</v>
      </c>
      <c r="AF180" s="171">
        <v>0.7</v>
      </c>
      <c r="AG180" s="171">
        <v>1.9</v>
      </c>
      <c r="AH180" s="171">
        <v>1.9</v>
      </c>
      <c r="AI180" s="171">
        <v>2.2000000000000002</v>
      </c>
      <c r="AJ180" s="171">
        <v>2.4</v>
      </c>
      <c r="AK180" s="171">
        <v>2.2999999999999998</v>
      </c>
      <c r="AL180" s="171">
        <v>2.5</v>
      </c>
      <c r="AM180" s="171">
        <v>2.9</v>
      </c>
      <c r="AN180" s="171">
        <v>3</v>
      </c>
      <c r="AO180" s="171"/>
      <c r="AP180" s="171"/>
      <c r="AQ180" s="171"/>
      <c r="AR180" s="171">
        <v>6.3</v>
      </c>
      <c r="AS180" s="171">
        <v>7.1</v>
      </c>
      <c r="AT180" s="171">
        <v>8.1</v>
      </c>
      <c r="AU180" s="171">
        <v>7.1</v>
      </c>
      <c r="AV180" s="171">
        <v>7.5</v>
      </c>
      <c r="AW180" s="171">
        <v>8.1</v>
      </c>
      <c r="AX180" s="171">
        <v>9.6999999999999993</v>
      </c>
      <c r="AY180" s="171">
        <v>11.9</v>
      </c>
      <c r="AZ180" s="171">
        <v>13.2</v>
      </c>
      <c r="BA180" s="171">
        <v>15.3</v>
      </c>
      <c r="BB180" s="171">
        <v>18.399999999999999</v>
      </c>
      <c r="BC180" s="171">
        <v>17.600000000000001</v>
      </c>
      <c r="BD180" s="171">
        <v>18.399999999999999</v>
      </c>
    </row>
    <row r="181" spans="1:78" s="66" customFormat="1" ht="12.75" customHeight="1" x14ac:dyDescent="0.55000000000000004">
      <c r="C181" s="94" t="s">
        <v>163</v>
      </c>
      <c r="L181" s="107"/>
      <c r="M181" s="107"/>
      <c r="N181" s="107"/>
      <c r="O181" s="107"/>
      <c r="P181" s="107"/>
      <c r="Q181" s="107"/>
      <c r="R181" s="107"/>
      <c r="S181" s="107"/>
      <c r="T181" s="107"/>
      <c r="U181" s="107"/>
      <c r="V181" s="107"/>
      <c r="W181" s="80"/>
      <c r="X181" s="80"/>
      <c r="Y181" s="171"/>
      <c r="Z181" s="171"/>
      <c r="AA181" s="171"/>
      <c r="AB181" s="171"/>
      <c r="AC181" s="171"/>
      <c r="AD181" s="171"/>
      <c r="AE181" s="171">
        <v>0.3</v>
      </c>
      <c r="AF181" s="171">
        <v>0.5</v>
      </c>
      <c r="AG181" s="171">
        <v>0.7</v>
      </c>
      <c r="AH181" s="171">
        <v>1.4</v>
      </c>
      <c r="AI181" s="171">
        <v>2</v>
      </c>
      <c r="AJ181" s="171">
        <v>2</v>
      </c>
      <c r="AK181" s="171">
        <v>1.8</v>
      </c>
      <c r="AL181" s="171">
        <v>2.5</v>
      </c>
      <c r="AM181" s="171">
        <v>2.2999999999999998</v>
      </c>
      <c r="AN181" s="171">
        <v>2.5</v>
      </c>
      <c r="AO181" s="171"/>
      <c r="AP181" s="171"/>
      <c r="AQ181" s="171"/>
      <c r="AR181" s="171">
        <v>4.9000000000000004</v>
      </c>
      <c r="AS181" s="171">
        <v>5.9</v>
      </c>
      <c r="AT181" s="171">
        <v>7</v>
      </c>
      <c r="AU181" s="171">
        <v>7.5</v>
      </c>
      <c r="AV181" s="171">
        <v>6.9</v>
      </c>
      <c r="AW181" s="171">
        <v>6.7</v>
      </c>
      <c r="AX181" s="171">
        <v>8.5</v>
      </c>
      <c r="AY181" s="171">
        <v>10.1</v>
      </c>
      <c r="AZ181" s="171">
        <v>12.2</v>
      </c>
      <c r="BA181" s="171">
        <v>14.4</v>
      </c>
      <c r="BB181" s="171">
        <v>14.8</v>
      </c>
      <c r="BC181" s="171">
        <v>17.7</v>
      </c>
      <c r="BD181" s="171">
        <v>17.7</v>
      </c>
    </row>
    <row r="182" spans="1:78" s="66" customFormat="1" ht="12.75" customHeight="1" x14ac:dyDescent="0.55000000000000004">
      <c r="C182" s="94" t="s">
        <v>164</v>
      </c>
      <c r="L182" s="107"/>
      <c r="M182" s="107"/>
      <c r="N182" s="107"/>
      <c r="O182" s="107"/>
      <c r="P182" s="107"/>
      <c r="Q182" s="107"/>
      <c r="R182" s="107"/>
      <c r="S182" s="107"/>
      <c r="T182" s="107"/>
      <c r="U182" s="107"/>
      <c r="V182" s="107"/>
      <c r="W182" s="80"/>
      <c r="X182" s="80"/>
      <c r="Y182" s="171"/>
      <c r="Z182" s="171"/>
      <c r="AA182" s="171"/>
      <c r="AB182" s="171"/>
      <c r="AC182" s="171"/>
      <c r="AD182" s="171"/>
      <c r="AE182" s="171"/>
      <c r="AF182" s="171"/>
      <c r="AG182" s="171"/>
      <c r="AH182" s="171"/>
      <c r="AI182" s="171">
        <v>0.1</v>
      </c>
      <c r="AJ182" s="171">
        <v>0.1</v>
      </c>
      <c r="AK182" s="171">
        <v>0.1</v>
      </c>
      <c r="AL182" s="171">
        <v>0.1</v>
      </c>
      <c r="AM182" s="171">
        <v>0.2</v>
      </c>
      <c r="AN182" s="171">
        <v>0.1</v>
      </c>
      <c r="AO182" s="171"/>
      <c r="AP182" s="171"/>
      <c r="AQ182" s="171"/>
      <c r="AR182" s="171">
        <v>0.2</v>
      </c>
      <c r="AS182" s="171">
        <v>0.1</v>
      </c>
      <c r="AT182" s="171">
        <v>0.1</v>
      </c>
      <c r="AU182" s="171">
        <v>0.3</v>
      </c>
      <c r="AV182" s="171">
        <v>0.3</v>
      </c>
      <c r="AW182" s="171">
        <v>0.5</v>
      </c>
      <c r="AX182" s="171">
        <v>0.6</v>
      </c>
      <c r="AY182" s="171">
        <v>0.7</v>
      </c>
      <c r="AZ182" s="171">
        <v>0.8</v>
      </c>
      <c r="BA182" s="171">
        <v>1</v>
      </c>
      <c r="BB182" s="171">
        <v>1.1000000000000001</v>
      </c>
      <c r="BC182" s="171">
        <v>1.5</v>
      </c>
      <c r="BD182" s="171">
        <v>2.1</v>
      </c>
      <c r="BQ182" s="66">
        <v>15</v>
      </c>
      <c r="BR182" s="66">
        <v>16</v>
      </c>
      <c r="BS182" s="66">
        <v>18</v>
      </c>
      <c r="BT182" s="66">
        <v>20</v>
      </c>
      <c r="BU182" s="66">
        <v>21</v>
      </c>
      <c r="BV182" s="66">
        <v>21</v>
      </c>
      <c r="BW182" s="66">
        <v>26</v>
      </c>
      <c r="BX182" s="66">
        <v>23</v>
      </c>
      <c r="BY182" s="66">
        <v>21</v>
      </c>
      <c r="BZ182" s="66">
        <v>17</v>
      </c>
    </row>
    <row r="183" spans="1:78" s="66" customFormat="1" ht="12.75" customHeight="1" x14ac:dyDescent="0.55000000000000004">
      <c r="C183" s="94" t="s">
        <v>165</v>
      </c>
      <c r="L183" s="107"/>
      <c r="M183" s="107"/>
      <c r="N183" s="107"/>
      <c r="O183" s="107"/>
      <c r="P183" s="107"/>
      <c r="Q183" s="107"/>
      <c r="R183" s="107"/>
      <c r="S183" s="107"/>
      <c r="T183" s="107"/>
      <c r="U183" s="107"/>
      <c r="V183" s="107"/>
      <c r="W183" s="80"/>
      <c r="X183" s="80"/>
      <c r="Y183" s="171"/>
      <c r="Z183" s="171"/>
      <c r="AA183" s="171"/>
      <c r="AB183" s="171"/>
      <c r="AC183" s="171"/>
      <c r="AD183" s="171"/>
      <c r="AE183" s="171"/>
      <c r="AF183" s="171"/>
      <c r="AG183" s="171"/>
      <c r="AH183" s="171"/>
      <c r="AI183" s="171"/>
      <c r="AJ183" s="171">
        <v>0.1</v>
      </c>
      <c r="AK183" s="171">
        <v>0</v>
      </c>
      <c r="AL183" s="171">
        <v>0.1</v>
      </c>
      <c r="AM183" s="171">
        <v>0.1</v>
      </c>
      <c r="AN183" s="171">
        <v>0.2</v>
      </c>
      <c r="AO183" s="171"/>
      <c r="AP183" s="171"/>
      <c r="AQ183" s="171"/>
      <c r="AR183" s="171">
        <v>0.2</v>
      </c>
      <c r="AS183" s="171">
        <v>0.2</v>
      </c>
      <c r="AT183" s="171">
        <v>0.1</v>
      </c>
      <c r="AU183" s="171">
        <v>0.1</v>
      </c>
      <c r="AV183" s="171">
        <v>0.2</v>
      </c>
      <c r="AW183" s="171">
        <v>0.3</v>
      </c>
      <c r="AX183" s="171">
        <v>0.5</v>
      </c>
      <c r="AY183" s="171">
        <v>0.6</v>
      </c>
      <c r="AZ183" s="171">
        <v>0.8</v>
      </c>
      <c r="BA183" s="171">
        <v>0.7</v>
      </c>
      <c r="BB183" s="171">
        <v>0.7</v>
      </c>
      <c r="BC183" s="171">
        <v>1.1000000000000001</v>
      </c>
      <c r="BD183" s="171">
        <v>1.5</v>
      </c>
    </row>
    <row r="184" spans="1:78" s="66" customFormat="1" ht="12.75" customHeight="1" x14ac:dyDescent="0.55000000000000004">
      <c r="C184" s="99"/>
      <c r="L184" s="107"/>
      <c r="M184" s="107"/>
      <c r="N184" s="107"/>
      <c r="O184" s="107"/>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c r="AN184" s="68"/>
      <c r="AO184" s="68"/>
      <c r="AP184" s="68"/>
      <c r="AQ184" s="68"/>
      <c r="AR184" s="68"/>
      <c r="AS184" s="68"/>
      <c r="AT184" s="68"/>
      <c r="AU184" s="68"/>
      <c r="AV184" s="68"/>
      <c r="AW184" s="68"/>
      <c r="AX184" s="68"/>
      <c r="AY184" s="68"/>
      <c r="AZ184" s="68"/>
      <c r="BA184" s="68"/>
      <c r="BB184" s="68"/>
      <c r="BC184" s="68"/>
      <c r="BD184" s="68"/>
    </row>
    <row r="185" spans="1:78" s="66" customFormat="1" ht="12.75" customHeight="1" x14ac:dyDescent="0.55000000000000004">
      <c r="A185" s="66" t="s">
        <v>414</v>
      </c>
      <c r="C185" s="99" t="s">
        <v>413</v>
      </c>
      <c r="L185" s="107"/>
      <c r="M185" s="107"/>
      <c r="N185" s="107"/>
      <c r="O185" s="107"/>
      <c r="P185" s="68"/>
      <c r="Q185" s="68"/>
      <c r="R185" s="68"/>
      <c r="S185" s="68"/>
      <c r="T185" s="68"/>
      <c r="U185" s="68"/>
      <c r="V185" s="68"/>
      <c r="W185" s="68"/>
      <c r="X185" s="68"/>
      <c r="Y185" s="68"/>
      <c r="Z185" s="68"/>
      <c r="AA185" s="68"/>
      <c r="AB185" s="68"/>
      <c r="AC185" s="68"/>
      <c r="AD185" s="68"/>
      <c r="AE185" s="68"/>
      <c r="AF185" s="68"/>
      <c r="AG185" s="68"/>
      <c r="AH185" s="68">
        <f>AH187+AH190+AH192+AH193+AH196+AH197</f>
        <v>8282</v>
      </c>
      <c r="AI185" s="68">
        <f t="shared" ref="AI185:AP185" si="64">AI187+AI190+AI191+AI201+AI203</f>
        <v>5583</v>
      </c>
      <c r="AJ185" s="68">
        <f t="shared" si="64"/>
        <v>6245</v>
      </c>
      <c r="AK185" s="68">
        <f t="shared" si="64"/>
        <v>6957</v>
      </c>
      <c r="AL185" s="68">
        <f t="shared" si="64"/>
        <v>6740</v>
      </c>
      <c r="AM185" s="68">
        <f t="shared" si="64"/>
        <v>12331</v>
      </c>
      <c r="AN185" s="68">
        <f t="shared" si="64"/>
        <v>13228</v>
      </c>
      <c r="AO185" s="68">
        <f t="shared" si="64"/>
        <v>13276</v>
      </c>
      <c r="AP185" s="68">
        <f t="shared" si="64"/>
        <v>12655</v>
      </c>
      <c r="AQ185" s="68">
        <f t="shared" ref="AQ185:BB185" si="65">AQ187+AQ190+AQ191+AQ201+AQ203</f>
        <v>12890</v>
      </c>
      <c r="AR185" s="68">
        <f t="shared" si="65"/>
        <v>12703</v>
      </c>
      <c r="AS185" s="68">
        <f t="shared" si="65"/>
        <v>14827</v>
      </c>
      <c r="AT185" s="68">
        <f t="shared" si="65"/>
        <v>11024</v>
      </c>
      <c r="AU185" s="68">
        <f t="shared" si="65"/>
        <v>10864</v>
      </c>
      <c r="AV185" s="68">
        <f t="shared" si="65"/>
        <v>11554</v>
      </c>
      <c r="AW185" s="68">
        <f t="shared" si="65"/>
        <v>12920</v>
      </c>
      <c r="AX185" s="68">
        <f t="shared" si="65"/>
        <v>14047</v>
      </c>
      <c r="AY185" s="68">
        <f t="shared" si="65"/>
        <v>14962</v>
      </c>
      <c r="AZ185" s="68">
        <f t="shared" si="65"/>
        <v>14886</v>
      </c>
      <c r="BA185" s="68">
        <f t="shared" si="65"/>
        <v>16001</v>
      </c>
      <c r="BB185" s="68">
        <f t="shared" si="65"/>
        <v>16034</v>
      </c>
      <c r="BC185" s="68">
        <f>BC187+BC190+BC191+BC201+BC203</f>
        <v>20112</v>
      </c>
      <c r="BD185" s="68"/>
      <c r="BP185" s="68">
        <f>BP187+BP190+BP191+BP201+BP203</f>
        <v>59249</v>
      </c>
      <c r="BQ185" s="68">
        <f t="shared" ref="BQ185:BV185" si="66">BQ187+BQ190+BQ191+BQ201+BQ203</f>
        <v>69264</v>
      </c>
      <c r="BR185" s="68">
        <f t="shared" si="66"/>
        <v>68254</v>
      </c>
      <c r="BS185" s="68">
        <f t="shared" si="66"/>
        <v>89959</v>
      </c>
      <c r="BT185" s="68"/>
      <c r="BU185" s="68">
        <f t="shared" si="66"/>
        <v>135695</v>
      </c>
      <c r="BV185" s="68">
        <f t="shared" si="66"/>
        <v>169299</v>
      </c>
    </row>
    <row r="186" spans="1:78" s="66" customFormat="1" ht="12.75" customHeight="1" x14ac:dyDescent="0.55000000000000004">
      <c r="C186" s="99"/>
      <c r="L186" s="107"/>
      <c r="M186" s="107"/>
      <c r="N186" s="107"/>
      <c r="O186" s="107"/>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c r="AN186" s="68"/>
      <c r="AO186" s="68"/>
      <c r="AP186" s="68"/>
      <c r="AQ186" s="68"/>
      <c r="AR186" s="68"/>
      <c r="AS186" s="68"/>
      <c r="AT186" s="68"/>
      <c r="AU186" s="68"/>
      <c r="AV186" s="68"/>
      <c r="AW186" s="68"/>
      <c r="AX186" s="68"/>
      <c r="AY186" s="68"/>
      <c r="AZ186" s="68"/>
      <c r="BA186" s="68"/>
      <c r="BB186" s="68"/>
      <c r="BC186" s="68"/>
      <c r="BD186" s="68"/>
    </row>
    <row r="187" spans="1:78" s="66" customFormat="1" ht="12.75" customHeight="1" x14ac:dyDescent="0.55000000000000004">
      <c r="A187" s="66" t="s">
        <v>414</v>
      </c>
      <c r="C187" s="99" t="s">
        <v>297</v>
      </c>
      <c r="L187" s="107"/>
      <c r="M187" s="107"/>
      <c r="N187" s="107"/>
      <c r="O187" s="107"/>
      <c r="P187" s="59">
        <v>1144</v>
      </c>
      <c r="Q187" s="59">
        <v>1465</v>
      </c>
      <c r="R187" s="59">
        <v>1837</v>
      </c>
      <c r="S187" s="59">
        <v>2172</v>
      </c>
      <c r="T187" s="59">
        <v>2442</v>
      </c>
      <c r="U187" s="59">
        <v>2381</v>
      </c>
      <c r="V187" s="59">
        <v>2216</v>
      </c>
      <c r="W187" s="59">
        <v>1784</v>
      </c>
      <c r="X187" s="59">
        <v>1467</v>
      </c>
      <c r="Y187" s="59">
        <v>1441</v>
      </c>
      <c r="Z187" s="59">
        <v>1722</v>
      </c>
      <c r="AA187" s="59">
        <v>1878</v>
      </c>
      <c r="AB187" s="59">
        <v>1849</v>
      </c>
      <c r="AC187" s="59">
        <v>2067</v>
      </c>
      <c r="AD187" s="59">
        <v>2264</v>
      </c>
      <c r="AE187" s="59">
        <v>2501</v>
      </c>
      <c r="AF187" s="59">
        <v>2590</v>
      </c>
      <c r="AG187" s="59">
        <v>2517</v>
      </c>
      <c r="AH187" s="59">
        <v>2647</v>
      </c>
      <c r="AI187" s="59">
        <v>3966</v>
      </c>
      <c r="AJ187" s="59">
        <v>4475</v>
      </c>
      <c r="AK187" s="59">
        <v>5013</v>
      </c>
      <c r="AL187" s="59">
        <v>4456</v>
      </c>
      <c r="AM187" s="59">
        <v>9616</v>
      </c>
      <c r="AN187" s="59">
        <v>10161</v>
      </c>
      <c r="AO187" s="59">
        <v>10301</v>
      </c>
      <c r="AP187" s="59">
        <v>9627</v>
      </c>
      <c r="AQ187" s="59">
        <v>9886</v>
      </c>
      <c r="AR187" s="59">
        <v>9464</v>
      </c>
      <c r="AS187" s="59">
        <v>11206</v>
      </c>
      <c r="AT187" s="59">
        <v>7111</v>
      </c>
      <c r="AU187" s="59">
        <v>6825</v>
      </c>
      <c r="AV187" s="59">
        <v>7245</v>
      </c>
      <c r="AW187" s="59">
        <v>8484</v>
      </c>
      <c r="AX187" s="59">
        <v>9311</v>
      </c>
      <c r="AY187" s="59">
        <v>10096</v>
      </c>
      <c r="AZ187" s="59">
        <v>9994</v>
      </c>
      <c r="BA187" s="59">
        <v>10931</v>
      </c>
      <c r="BB187" s="59">
        <v>11125</v>
      </c>
      <c r="BC187" s="59">
        <v>14899</v>
      </c>
      <c r="BD187" s="68"/>
      <c r="BM187" s="66">
        <v>11444</v>
      </c>
      <c r="BN187" s="66">
        <v>16037</v>
      </c>
      <c r="BO187" s="66">
        <v>13181</v>
      </c>
      <c r="BP187" s="66">
        <v>28490</v>
      </c>
      <c r="BQ187" s="66">
        <v>32652</v>
      </c>
      <c r="BR187" s="66">
        <v>28149</v>
      </c>
      <c r="BS187" s="66">
        <f>3838+7635+3583+7524+294+249+602+1595</f>
        <v>25320</v>
      </c>
      <c r="BT187" s="66">
        <v>19239</v>
      </c>
      <c r="BU187" s="66">
        <v>20992</v>
      </c>
      <c r="BV187" s="66">
        <v>33163</v>
      </c>
    </row>
    <row r="188" spans="1:78" s="66" customFormat="1" ht="12.75" customHeight="1" x14ac:dyDescent="0.55000000000000004">
      <c r="C188" s="99" t="s">
        <v>298</v>
      </c>
      <c r="L188" s="107"/>
      <c r="M188" s="107"/>
      <c r="N188" s="107"/>
      <c r="O188" s="107"/>
      <c r="P188" s="59"/>
      <c r="Q188" s="59"/>
      <c r="R188" s="59"/>
      <c r="S188" s="59"/>
      <c r="T188" s="59"/>
      <c r="U188" s="59"/>
      <c r="V188" s="59"/>
      <c r="W188" s="59"/>
      <c r="X188" s="59"/>
      <c r="Y188" s="59"/>
      <c r="Z188" s="59">
        <v>1001</v>
      </c>
      <c r="AA188" s="59">
        <v>942</v>
      </c>
      <c r="AB188" s="59">
        <v>933</v>
      </c>
      <c r="AC188" s="59">
        <v>1130</v>
      </c>
      <c r="AD188" s="59">
        <v>1135</v>
      </c>
      <c r="AE188" s="59">
        <v>1390</v>
      </c>
      <c r="AF188" s="59">
        <v>1228</v>
      </c>
      <c r="AG188" s="59">
        <v>1322</v>
      </c>
      <c r="AH188" s="59">
        <v>1603</v>
      </c>
      <c r="AI188" s="59">
        <v>1824</v>
      </c>
      <c r="AJ188" s="59">
        <v>1730</v>
      </c>
      <c r="AK188" s="59">
        <v>2282</v>
      </c>
      <c r="AL188" s="59">
        <v>2277</v>
      </c>
      <c r="AM188" s="59">
        <v>5653</v>
      </c>
      <c r="AN188" s="59">
        <v>7493</v>
      </c>
      <c r="AO188" s="59">
        <v>4598</v>
      </c>
      <c r="AP188" s="59">
        <v>6254</v>
      </c>
      <c r="AQ188" s="59">
        <v>6702</v>
      </c>
      <c r="AR188" s="59">
        <v>7285</v>
      </c>
      <c r="AS188" s="59">
        <v>4262</v>
      </c>
      <c r="AT188" s="59">
        <v>3303</v>
      </c>
      <c r="AU188" s="59">
        <v>3433</v>
      </c>
      <c r="AV188" s="59">
        <v>4331</v>
      </c>
      <c r="AW188" s="59">
        <v>4505</v>
      </c>
      <c r="AX188" s="59">
        <v>4601</v>
      </c>
      <c r="AY188" s="59">
        <v>4825</v>
      </c>
      <c r="AZ188" s="59">
        <v>4475</v>
      </c>
      <c r="BA188" s="59">
        <v>5140</v>
      </c>
      <c r="BB188" s="59"/>
      <c r="BC188" s="59">
        <v>7539</v>
      </c>
      <c r="BD188" s="68"/>
    </row>
    <row r="189" spans="1:78" s="66" customFormat="1" ht="12.75" customHeight="1" x14ac:dyDescent="0.55000000000000004">
      <c r="C189" s="99"/>
      <c r="L189" s="107"/>
      <c r="M189" s="107"/>
      <c r="N189" s="107"/>
      <c r="O189" s="107"/>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c r="AN189" s="68"/>
      <c r="AO189" s="68"/>
      <c r="AP189" s="68"/>
      <c r="AQ189" s="68"/>
      <c r="AR189" s="68"/>
      <c r="AS189" s="68"/>
      <c r="AT189" s="68"/>
      <c r="AU189" s="68"/>
      <c r="AV189" s="68"/>
      <c r="AW189" s="68"/>
      <c r="AX189" s="68"/>
      <c r="AY189" s="68"/>
      <c r="AZ189" s="68"/>
      <c r="BA189" s="68"/>
      <c r="BB189" s="68"/>
      <c r="BC189" s="68"/>
      <c r="BD189" s="68"/>
    </row>
    <row r="190" spans="1:78" s="66" customFormat="1" ht="12.75" customHeight="1" x14ac:dyDescent="0.55000000000000004">
      <c r="A190" s="66" t="s">
        <v>414</v>
      </c>
      <c r="C190" s="99" t="s">
        <v>299</v>
      </c>
      <c r="L190" s="107"/>
      <c r="M190" s="107"/>
      <c r="N190" s="107"/>
      <c r="O190" s="107"/>
      <c r="P190" s="68"/>
      <c r="Q190" s="68"/>
      <c r="R190" s="68"/>
      <c r="S190" s="68"/>
      <c r="T190" s="68"/>
      <c r="U190" s="68"/>
      <c r="V190" s="68"/>
      <c r="W190" s="68"/>
      <c r="X190" s="68"/>
      <c r="Y190" s="68"/>
      <c r="Z190" s="68"/>
      <c r="AA190" s="68"/>
      <c r="AB190" s="68">
        <v>35</v>
      </c>
      <c r="AC190" s="68">
        <v>80</v>
      </c>
      <c r="AD190" s="68">
        <v>178</v>
      </c>
      <c r="AE190" s="68">
        <v>181</v>
      </c>
      <c r="AF190" s="68">
        <v>196</v>
      </c>
      <c r="AG190" s="68">
        <v>290</v>
      </c>
      <c r="AH190" s="68">
        <v>241</v>
      </c>
      <c r="AI190" s="68">
        <v>366</v>
      </c>
      <c r="AJ190" s="68">
        <v>460</v>
      </c>
      <c r="AK190" s="68">
        <v>490</v>
      </c>
      <c r="AL190" s="68">
        <v>649</v>
      </c>
      <c r="AM190" s="68">
        <v>788</v>
      </c>
      <c r="AN190" s="68">
        <v>897</v>
      </c>
      <c r="AO190" s="68">
        <v>890</v>
      </c>
      <c r="AP190" s="68">
        <v>865</v>
      </c>
      <c r="AQ190" s="68">
        <v>834</v>
      </c>
      <c r="AR190" s="68">
        <v>933</v>
      </c>
      <c r="AS190" s="68">
        <v>1098</v>
      </c>
      <c r="AT190" s="68">
        <v>1327</v>
      </c>
      <c r="AU190" s="68">
        <v>1351</v>
      </c>
      <c r="AV190" s="68">
        <v>1398</v>
      </c>
      <c r="AW190" s="68">
        <v>1428</v>
      </c>
      <c r="AX190" s="68">
        <v>1470</v>
      </c>
      <c r="AY190" s="68">
        <v>1454</v>
      </c>
      <c r="AZ190" s="68">
        <v>1550</v>
      </c>
      <c r="BA190" s="68">
        <v>1675</v>
      </c>
      <c r="BB190" s="68">
        <v>1797</v>
      </c>
      <c r="BC190" s="68">
        <v>1954</v>
      </c>
      <c r="BD190" s="68">
        <v>1897</v>
      </c>
    </row>
    <row r="191" spans="1:78" s="66" customFormat="1" ht="12.75" customHeight="1" x14ac:dyDescent="0.55000000000000004">
      <c r="C191" s="99" t="s">
        <v>300</v>
      </c>
      <c r="L191" s="107"/>
      <c r="M191" s="107"/>
      <c r="N191" s="107"/>
      <c r="O191" s="107"/>
      <c r="P191" s="68"/>
      <c r="Q191" s="68"/>
      <c r="R191" s="68"/>
      <c r="S191" s="68"/>
      <c r="T191" s="68"/>
      <c r="U191" s="68"/>
      <c r="V191" s="68"/>
      <c r="W191" s="68"/>
      <c r="X191" s="68"/>
      <c r="Y191" s="68"/>
      <c r="Z191" s="68"/>
      <c r="AA191" s="68"/>
      <c r="AB191" s="68"/>
      <c r="AC191" s="68"/>
      <c r="AD191" s="68"/>
      <c r="AE191" s="68"/>
      <c r="AF191" s="68"/>
      <c r="AG191" s="68"/>
      <c r="AH191" s="68"/>
      <c r="AI191" s="68">
        <v>1251</v>
      </c>
      <c r="AJ191" s="68">
        <v>1310</v>
      </c>
      <c r="AK191" s="68">
        <v>1454</v>
      </c>
      <c r="AL191" s="68">
        <v>1635</v>
      </c>
      <c r="AM191" s="68">
        <v>1927</v>
      </c>
      <c r="AN191" s="68">
        <v>2170</v>
      </c>
      <c r="AO191" s="68">
        <v>2085</v>
      </c>
      <c r="AP191" s="68">
        <v>2163</v>
      </c>
      <c r="AQ191" s="68">
        <v>2170</v>
      </c>
      <c r="AR191" s="68">
        <v>2306</v>
      </c>
      <c r="AS191" s="68">
        <v>2523</v>
      </c>
      <c r="AT191" s="68">
        <v>2586</v>
      </c>
      <c r="AU191" s="68">
        <v>2688</v>
      </c>
      <c r="AV191" s="68">
        <v>2911</v>
      </c>
      <c r="AW191" s="68">
        <v>3008</v>
      </c>
      <c r="AX191" s="68">
        <v>3266</v>
      </c>
      <c r="AY191" s="68">
        <v>3412</v>
      </c>
      <c r="AZ191" s="68">
        <v>3342</v>
      </c>
      <c r="BA191" s="68">
        <v>3395</v>
      </c>
      <c r="BB191" s="68">
        <v>3112</v>
      </c>
      <c r="BC191" s="68">
        <v>3259</v>
      </c>
      <c r="BD191" s="68"/>
    </row>
    <row r="192" spans="1:78" s="66" customFormat="1" ht="12.75" customHeight="1" x14ac:dyDescent="0.55000000000000004">
      <c r="C192" s="99" t="s">
        <v>422</v>
      </c>
      <c r="L192" s="107"/>
      <c r="M192" s="107"/>
      <c r="N192" s="107"/>
      <c r="O192" s="107"/>
      <c r="P192" s="68"/>
      <c r="Q192" s="68"/>
      <c r="R192" s="68"/>
      <c r="S192" s="68"/>
      <c r="T192" s="68"/>
      <c r="U192" s="68"/>
      <c r="V192" s="68"/>
      <c r="W192" s="68"/>
      <c r="X192" s="68"/>
      <c r="Y192" s="68"/>
      <c r="Z192" s="68"/>
      <c r="AA192" s="68"/>
      <c r="AB192" s="108">
        <v>193</v>
      </c>
      <c r="AC192" s="108"/>
      <c r="AD192" s="108"/>
      <c r="AE192" s="108">
        <v>791</v>
      </c>
      <c r="AF192" s="108">
        <v>1176</v>
      </c>
      <c r="AG192" s="108">
        <v>1457</v>
      </c>
      <c r="AH192" s="108">
        <v>1769</v>
      </c>
      <c r="AI192" s="68"/>
      <c r="AJ192" s="68"/>
      <c r="AK192" s="68"/>
      <c r="AL192" s="68"/>
      <c r="AM192" s="68"/>
      <c r="AN192" s="68"/>
      <c r="AO192" s="68"/>
      <c r="AP192" s="68"/>
      <c r="AQ192" s="68"/>
      <c r="AR192" s="68"/>
      <c r="AS192" s="68"/>
      <c r="AT192" s="68"/>
      <c r="AU192" s="68"/>
      <c r="AV192" s="68"/>
      <c r="AW192" s="68"/>
      <c r="AX192" s="68"/>
      <c r="AY192" s="68"/>
      <c r="AZ192" s="68"/>
      <c r="BA192" s="68"/>
      <c r="BB192" s="68"/>
      <c r="BC192" s="68"/>
      <c r="BD192" s="68"/>
    </row>
    <row r="193" spans="1:81" s="66" customFormat="1" ht="12.75" customHeight="1" x14ac:dyDescent="0.55000000000000004">
      <c r="C193" s="99" t="s">
        <v>423</v>
      </c>
      <c r="L193" s="107"/>
      <c r="M193" s="107"/>
      <c r="N193" s="107"/>
      <c r="O193" s="107"/>
      <c r="P193" s="68"/>
      <c r="Q193" s="68"/>
      <c r="R193" s="68"/>
      <c r="S193" s="68"/>
      <c r="T193" s="68"/>
      <c r="U193" s="68"/>
      <c r="V193" s="68"/>
      <c r="W193" s="68"/>
      <c r="X193" s="68"/>
      <c r="Y193" s="68"/>
      <c r="Z193" s="68"/>
      <c r="AA193" s="68"/>
      <c r="AB193" s="108"/>
      <c r="AC193" s="108"/>
      <c r="AD193" s="108"/>
      <c r="AE193" s="108">
        <v>801</v>
      </c>
      <c r="AF193" s="108">
        <v>1201</v>
      </c>
      <c r="AG193" s="108">
        <v>1498</v>
      </c>
      <c r="AH193" s="108">
        <v>1973</v>
      </c>
      <c r="AI193" s="68"/>
      <c r="AJ193" s="68"/>
      <c r="AK193" s="68"/>
      <c r="AL193" s="68"/>
      <c r="AM193" s="68"/>
      <c r="AN193" s="68"/>
      <c r="AO193" s="68"/>
      <c r="AP193" s="68"/>
      <c r="AQ193" s="68"/>
      <c r="AR193" s="68"/>
      <c r="AS193" s="68"/>
      <c r="AT193" s="68"/>
      <c r="AU193" s="68"/>
      <c r="AV193" s="68"/>
      <c r="AW193" s="68"/>
      <c r="AX193" s="68"/>
      <c r="AY193" s="68"/>
      <c r="AZ193" s="68"/>
      <c r="BA193" s="68"/>
      <c r="BB193" s="68"/>
      <c r="BC193" s="68"/>
      <c r="BD193" s="68"/>
    </row>
    <row r="194" spans="1:81" s="66" customFormat="1" ht="12.75" customHeight="1" x14ac:dyDescent="0.55000000000000004">
      <c r="C194" s="99" t="s">
        <v>301</v>
      </c>
      <c r="L194" s="107"/>
      <c r="M194" s="107"/>
      <c r="N194" s="107"/>
      <c r="O194" s="107"/>
      <c r="P194" s="68"/>
      <c r="Q194" s="68"/>
      <c r="R194" s="68"/>
      <c r="S194" s="68"/>
      <c r="T194" s="68"/>
      <c r="U194" s="68"/>
      <c r="V194" s="68"/>
      <c r="W194" s="68"/>
      <c r="X194" s="68"/>
      <c r="Y194" s="68"/>
      <c r="Z194" s="68"/>
      <c r="AA194" s="68"/>
      <c r="AB194" s="68"/>
      <c r="AC194" s="68"/>
      <c r="AD194" s="68"/>
      <c r="AE194" s="68"/>
      <c r="AF194" s="68">
        <v>511</v>
      </c>
      <c r="AG194" s="68">
        <v>563</v>
      </c>
      <c r="AH194" s="68">
        <v>613</v>
      </c>
      <c r="AI194" s="68">
        <v>704</v>
      </c>
      <c r="AJ194" s="68">
        <v>710</v>
      </c>
      <c r="AK194" s="68">
        <v>780</v>
      </c>
      <c r="AL194" s="68">
        <v>819</v>
      </c>
      <c r="AM194" s="68">
        <v>874</v>
      </c>
      <c r="AN194" s="68">
        <v>645</v>
      </c>
      <c r="AO194" s="68">
        <v>616</v>
      </c>
      <c r="AP194" s="68">
        <v>894</v>
      </c>
      <c r="AQ194" s="68"/>
      <c r="AR194" s="68"/>
      <c r="AS194" s="68"/>
      <c r="AT194" s="68"/>
      <c r="AU194" s="68"/>
      <c r="AV194" s="68"/>
      <c r="AW194" s="68"/>
      <c r="AX194" s="68"/>
      <c r="AY194" s="68"/>
      <c r="AZ194" s="68"/>
      <c r="BA194" s="68"/>
      <c r="BB194" s="68"/>
      <c r="BC194" s="68"/>
      <c r="BD194" s="68"/>
    </row>
    <row r="195" spans="1:81" s="66" customFormat="1" ht="12.75" customHeight="1" x14ac:dyDescent="0.55000000000000004">
      <c r="C195" s="99" t="s">
        <v>302</v>
      </c>
      <c r="L195" s="107"/>
      <c r="M195" s="107"/>
      <c r="N195" s="107"/>
      <c r="O195" s="107"/>
      <c r="P195" s="68"/>
      <c r="Q195" s="68"/>
      <c r="R195" s="68"/>
      <c r="S195" s="68"/>
      <c r="T195" s="68"/>
      <c r="U195" s="68"/>
      <c r="V195" s="68"/>
      <c r="W195" s="68"/>
      <c r="X195" s="68"/>
      <c r="Y195" s="68"/>
      <c r="Z195" s="68"/>
      <c r="AA195" s="68"/>
      <c r="AB195" s="68"/>
      <c r="AC195" s="68"/>
      <c r="AD195" s="68"/>
      <c r="AE195" s="68"/>
      <c r="AF195" s="68">
        <v>174</v>
      </c>
      <c r="AG195" s="68">
        <v>303</v>
      </c>
      <c r="AH195" s="68">
        <v>341</v>
      </c>
      <c r="AI195" s="68">
        <v>559</v>
      </c>
      <c r="AJ195" s="68">
        <v>582</v>
      </c>
      <c r="AK195" s="68">
        <v>650</v>
      </c>
      <c r="AL195" s="68">
        <v>650</v>
      </c>
      <c r="AM195" s="68">
        <v>712</v>
      </c>
      <c r="AN195" s="68">
        <v>681</v>
      </c>
      <c r="AO195" s="68">
        <v>660</v>
      </c>
      <c r="AP195" s="68">
        <v>774</v>
      </c>
      <c r="AQ195" s="68"/>
      <c r="AR195" s="68"/>
      <c r="AS195" s="68"/>
      <c r="AT195" s="68"/>
      <c r="AU195" s="68"/>
      <c r="AV195" s="68"/>
      <c r="AW195" s="68"/>
      <c r="AX195" s="68"/>
      <c r="AY195" s="68"/>
      <c r="AZ195" s="68"/>
      <c r="BA195" s="68"/>
      <c r="BB195" s="68"/>
      <c r="BC195" s="68"/>
      <c r="BD195" s="68"/>
    </row>
    <row r="196" spans="1:81" s="66" customFormat="1" ht="12.75" customHeight="1" x14ac:dyDescent="0.55000000000000004">
      <c r="C196" s="99" t="s">
        <v>424</v>
      </c>
      <c r="L196" s="107"/>
      <c r="M196" s="107"/>
      <c r="N196" s="107"/>
      <c r="O196" s="107"/>
      <c r="P196" s="68"/>
      <c r="Q196" s="68"/>
      <c r="R196" s="68"/>
      <c r="S196" s="68"/>
      <c r="T196" s="68"/>
      <c r="U196" s="68"/>
      <c r="V196" s="68"/>
      <c r="W196" s="68"/>
      <c r="X196" s="68"/>
      <c r="Y196" s="68"/>
      <c r="Z196" s="68"/>
      <c r="AA196" s="68"/>
      <c r="AB196" s="108">
        <v>108</v>
      </c>
      <c r="AC196" s="108"/>
      <c r="AD196" s="108"/>
      <c r="AE196" s="108">
        <v>1128</v>
      </c>
      <c r="AF196" s="108">
        <v>896</v>
      </c>
      <c r="AG196" s="108">
        <v>677</v>
      </c>
      <c r="AH196" s="108">
        <v>604</v>
      </c>
      <c r="AI196" s="68"/>
      <c r="AJ196" s="68"/>
      <c r="AK196" s="68"/>
      <c r="AL196" s="68"/>
      <c r="AM196" s="68"/>
      <c r="AN196" s="68"/>
      <c r="AO196" s="68"/>
      <c r="AP196" s="68"/>
      <c r="AQ196" s="68"/>
      <c r="AR196" s="68"/>
      <c r="AS196" s="68"/>
      <c r="AT196" s="68"/>
      <c r="AU196" s="68"/>
      <c r="AV196" s="68"/>
      <c r="AW196" s="68"/>
      <c r="AX196" s="68"/>
      <c r="AY196" s="68"/>
      <c r="AZ196" s="68"/>
      <c r="BA196" s="68"/>
      <c r="BB196" s="68"/>
      <c r="BC196" s="68"/>
      <c r="BD196" s="68"/>
    </row>
    <row r="197" spans="1:81" s="66" customFormat="1" ht="12.75" customHeight="1" x14ac:dyDescent="0.55000000000000004">
      <c r="C197" s="99" t="s">
        <v>425</v>
      </c>
      <c r="L197" s="107"/>
      <c r="M197" s="107"/>
      <c r="N197" s="107"/>
      <c r="O197" s="107"/>
      <c r="P197" s="68"/>
      <c r="Q197" s="68"/>
      <c r="R197" s="68"/>
      <c r="S197" s="68"/>
      <c r="T197" s="68"/>
      <c r="U197" s="68"/>
      <c r="V197" s="68"/>
      <c r="W197" s="68"/>
      <c r="X197" s="68"/>
      <c r="Y197" s="68"/>
      <c r="Z197" s="68"/>
      <c r="AA197" s="68"/>
      <c r="AB197" s="108"/>
      <c r="AC197" s="108"/>
      <c r="AD197" s="108"/>
      <c r="AE197" s="108">
        <v>1804</v>
      </c>
      <c r="AF197" s="108">
        <v>1467</v>
      </c>
      <c r="AG197" s="108">
        <v>1061</v>
      </c>
      <c r="AH197" s="108">
        <v>1048</v>
      </c>
      <c r="AI197" s="68"/>
      <c r="AJ197" s="68"/>
      <c r="AK197" s="68"/>
      <c r="AL197" s="68"/>
      <c r="AM197" s="68"/>
      <c r="AN197" s="68"/>
      <c r="AO197" s="68"/>
      <c r="AP197" s="68"/>
      <c r="AQ197" s="68"/>
      <c r="AR197" s="68"/>
      <c r="AS197" s="68"/>
      <c r="AT197" s="68"/>
      <c r="AU197" s="68"/>
      <c r="AV197" s="68"/>
      <c r="AW197" s="68"/>
      <c r="AX197" s="68"/>
      <c r="AY197" s="68"/>
      <c r="AZ197" s="68"/>
      <c r="BA197" s="68"/>
      <c r="BB197" s="68"/>
      <c r="BC197" s="68"/>
      <c r="BD197" s="68"/>
    </row>
    <row r="198" spans="1:81" s="66" customFormat="1" ht="12.75" customHeight="1" x14ac:dyDescent="0.55000000000000004">
      <c r="C198" s="99" t="s">
        <v>303</v>
      </c>
      <c r="L198" s="107"/>
      <c r="M198" s="107"/>
      <c r="N198" s="107"/>
      <c r="O198" s="107"/>
      <c r="P198" s="68"/>
      <c r="Q198" s="68"/>
      <c r="R198" s="68"/>
      <c r="S198" s="68"/>
      <c r="T198" s="68"/>
      <c r="U198" s="68"/>
      <c r="V198" s="68"/>
      <c r="W198" s="68"/>
      <c r="X198" s="68"/>
      <c r="Y198" s="68"/>
      <c r="Z198" s="68"/>
      <c r="AA198" s="68"/>
      <c r="AB198" s="68"/>
      <c r="AC198" s="68"/>
      <c r="AD198" s="68"/>
      <c r="AE198" s="68"/>
      <c r="AF198" s="68">
        <v>190</v>
      </c>
      <c r="AG198" s="68">
        <v>108</v>
      </c>
      <c r="AH198" s="68">
        <v>139</v>
      </c>
      <c r="AI198" s="68">
        <v>472</v>
      </c>
      <c r="AJ198" s="68">
        <v>479</v>
      </c>
      <c r="AK198" s="68">
        <v>350</v>
      </c>
      <c r="AL198" s="68">
        <v>138</v>
      </c>
      <c r="AM198" s="68">
        <v>160</v>
      </c>
      <c r="AN198" s="68">
        <v>170</v>
      </c>
      <c r="AO198" s="68">
        <v>185</v>
      </c>
      <c r="AP198" s="68">
        <v>190</v>
      </c>
      <c r="AQ198" s="68"/>
      <c r="AR198" s="68"/>
      <c r="AS198" s="68"/>
      <c r="AT198" s="68"/>
      <c r="AU198" s="68"/>
      <c r="AV198" s="68"/>
      <c r="AW198" s="68"/>
      <c r="AX198" s="68"/>
      <c r="AY198" s="68"/>
      <c r="AZ198" s="68"/>
      <c r="BA198" s="68"/>
      <c r="BB198" s="68"/>
      <c r="BC198" s="68"/>
      <c r="BD198" s="68"/>
    </row>
    <row r="199" spans="1:81" s="66" customFormat="1" ht="12.75" customHeight="1" x14ac:dyDescent="0.55000000000000004">
      <c r="C199" s="99" t="s">
        <v>304</v>
      </c>
      <c r="L199" s="107"/>
      <c r="M199" s="107"/>
      <c r="N199" s="107"/>
      <c r="O199" s="107"/>
      <c r="P199" s="68"/>
      <c r="Q199" s="68"/>
      <c r="R199" s="68"/>
      <c r="S199" s="68"/>
      <c r="T199" s="68"/>
      <c r="U199" s="68"/>
      <c r="V199" s="68"/>
      <c r="W199" s="68"/>
      <c r="X199" s="68"/>
      <c r="Y199" s="68"/>
      <c r="Z199" s="68"/>
      <c r="AA199" s="68"/>
      <c r="AB199" s="68"/>
      <c r="AC199" s="68"/>
      <c r="AD199" s="68"/>
      <c r="AE199" s="68"/>
      <c r="AF199" s="68">
        <v>330</v>
      </c>
      <c r="AG199" s="68">
        <v>143</v>
      </c>
      <c r="AH199" s="68">
        <v>104</v>
      </c>
      <c r="AI199" s="68">
        <v>120</v>
      </c>
      <c r="AJ199" s="68">
        <v>444</v>
      </c>
      <c r="AK199" s="68">
        <v>570</v>
      </c>
      <c r="AL199" s="68">
        <v>345</v>
      </c>
      <c r="AM199" s="68">
        <v>212</v>
      </c>
      <c r="AN199" s="68">
        <v>180</v>
      </c>
      <c r="AO199" s="68">
        <v>189</v>
      </c>
      <c r="AP199" s="68">
        <v>195</v>
      </c>
      <c r="AQ199" s="68"/>
      <c r="AR199" s="68"/>
      <c r="AS199" s="68"/>
      <c r="AT199" s="68"/>
      <c r="AU199" s="68"/>
      <c r="AV199" s="68"/>
      <c r="AW199" s="68"/>
      <c r="AX199" s="68"/>
      <c r="AY199" s="68"/>
      <c r="AZ199" s="68"/>
      <c r="BA199" s="68"/>
      <c r="BB199" s="68"/>
      <c r="BC199" s="68"/>
      <c r="BD199" s="68"/>
    </row>
    <row r="200" spans="1:81" s="66" customFormat="1" ht="12.75" customHeight="1" x14ac:dyDescent="0.55000000000000004">
      <c r="C200" s="99"/>
      <c r="L200" s="107"/>
      <c r="M200" s="107"/>
      <c r="N200" s="107"/>
      <c r="O200" s="107"/>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c r="AN200" s="68"/>
      <c r="AO200" s="68"/>
      <c r="AP200" s="68"/>
      <c r="AQ200" s="68"/>
      <c r="AR200" s="68"/>
      <c r="AS200" s="68"/>
      <c r="AT200" s="68"/>
      <c r="AU200" s="68"/>
      <c r="AV200" s="68"/>
      <c r="AW200" s="68"/>
      <c r="AX200" s="68"/>
      <c r="AY200" s="68"/>
      <c r="AZ200" s="68"/>
      <c r="BA200" s="68"/>
      <c r="BB200" s="68"/>
      <c r="BC200" s="68"/>
      <c r="BD200" s="68"/>
    </row>
    <row r="201" spans="1:81" x14ac:dyDescent="0.5">
      <c r="A201" s="66" t="s">
        <v>414</v>
      </c>
      <c r="C201" s="26" t="s">
        <v>410</v>
      </c>
      <c r="P201" s="56"/>
      <c r="Q201" s="56"/>
      <c r="R201" s="56"/>
      <c r="S201" s="56"/>
      <c r="T201" s="56"/>
      <c r="U201" s="56"/>
      <c r="V201" s="56"/>
      <c r="W201" s="56"/>
      <c r="X201" s="56"/>
      <c r="Y201" s="56"/>
      <c r="Z201" s="56"/>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P201" s="26">
        <v>30759</v>
      </c>
      <c r="BQ201" s="26">
        <v>36612</v>
      </c>
      <c r="BR201" s="26">
        <v>40105</v>
      </c>
      <c r="BS201" s="26">
        <v>48147</v>
      </c>
      <c r="BT201" s="26">
        <v>79961</v>
      </c>
      <c r="BU201" s="26">
        <v>97245</v>
      </c>
      <c r="BV201" s="26">
        <v>115305</v>
      </c>
      <c r="CC201" s="26">
        <v>189857</v>
      </c>
    </row>
    <row r="202" spans="1:81" ht="12.75" customHeight="1" x14ac:dyDescent="0.5">
      <c r="C202" s="26" t="s">
        <v>411</v>
      </c>
      <c r="P202" s="56"/>
      <c r="Q202" s="56"/>
      <c r="R202" s="56"/>
      <c r="S202" s="56"/>
      <c r="T202" s="56"/>
      <c r="U202" s="56"/>
      <c r="V202" s="56"/>
      <c r="W202" s="56"/>
      <c r="X202" s="56"/>
      <c r="Y202" s="56"/>
      <c r="Z202" s="56"/>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S202" s="26">
        <v>20094</v>
      </c>
      <c r="BU202" s="26">
        <v>31145</v>
      </c>
      <c r="BV202" s="26">
        <v>28760</v>
      </c>
    </row>
    <row r="203" spans="1:81" ht="12.75" customHeight="1" x14ac:dyDescent="0.5">
      <c r="C203" s="26" t="s">
        <v>412</v>
      </c>
      <c r="P203" s="56"/>
      <c r="Q203" s="56"/>
      <c r="R203" s="56"/>
      <c r="S203" s="56"/>
      <c r="T203" s="56"/>
      <c r="U203" s="56"/>
      <c r="V203" s="56"/>
      <c r="W203" s="56"/>
      <c r="X203" s="56"/>
      <c r="Y203" s="56"/>
      <c r="Z203" s="56"/>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S203" s="26">
        <v>16492</v>
      </c>
      <c r="BU203" s="26">
        <v>17458</v>
      </c>
      <c r="BV203" s="26">
        <v>20831</v>
      </c>
    </row>
    <row r="204" spans="1:81" ht="12.75" customHeight="1" x14ac:dyDescent="0.5"/>
    <row r="205" spans="1:81" ht="12.75" customHeight="1" x14ac:dyDescent="0.5"/>
    <row r="206" spans="1:81" ht="12.75" customHeight="1" x14ac:dyDescent="0.5"/>
    <row r="207" spans="1:81" ht="12.75" customHeight="1" x14ac:dyDescent="0.5"/>
  </sheetData>
  <mergeCells count="1">
    <mergeCell ref="B1:B2"/>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75"/>
  <sheetViews>
    <sheetView zoomScaleNormal="100" workbookViewId="0">
      <pane xSplit="3" ySplit="2" topLeftCell="X3" activePane="bottomRight" state="frozen"/>
      <selection pane="topRight" activeCell="D1" sqref="D1"/>
      <selection pane="bottomLeft" activeCell="A3" sqref="A3"/>
      <selection pane="bottomRight" activeCell="Z164" sqref="Z164"/>
    </sheetView>
  </sheetViews>
  <sheetFormatPr defaultColWidth="9.15625" defaultRowHeight="12.9" x14ac:dyDescent="0.5"/>
  <cols>
    <col min="1" max="1" width="12.41796875" style="26" customWidth="1"/>
    <col min="2" max="2" width="16.578125" style="26" customWidth="1"/>
    <col min="3" max="3" width="37" style="26" customWidth="1"/>
    <col min="4" max="4" width="8.578125" style="26" hidden="1" customWidth="1"/>
    <col min="5" max="12" width="10" style="26" hidden="1" customWidth="1"/>
    <col min="13" max="13" width="10" style="26" customWidth="1"/>
    <col min="14" max="20" width="10.15625" style="26" bestFit="1" customWidth="1"/>
    <col min="21" max="22" width="10.26171875" style="26" bestFit="1" customWidth="1"/>
    <col min="23" max="27" width="10.68359375" style="26" bestFit="1" customWidth="1"/>
    <col min="28" max="29" width="10" style="26" bestFit="1" customWidth="1"/>
    <col min="30" max="36" width="10.15625" style="26" bestFit="1" customWidth="1"/>
    <col min="37" max="37" width="10.578125" style="26" bestFit="1" customWidth="1"/>
    <col min="38" max="45" width="10.15625" style="26" bestFit="1" customWidth="1"/>
    <col min="46" max="46" width="10" style="26" bestFit="1" customWidth="1"/>
    <col min="47" max="47" width="10.41796875" style="26" bestFit="1" customWidth="1"/>
    <col min="48" max="51" width="11" style="26" bestFit="1" customWidth="1"/>
    <col min="52" max="52" width="11.26171875" style="26" bestFit="1" customWidth="1"/>
    <col min="53" max="54" width="12.41796875" style="26" bestFit="1" customWidth="1"/>
    <col min="55" max="55" width="12.15625" style="26" customWidth="1"/>
    <col min="56" max="56" width="14.15625" style="26" bestFit="1" customWidth="1"/>
    <col min="57" max="57" width="11.41796875" style="26" bestFit="1" customWidth="1"/>
    <col min="58" max="63" width="12.41796875" style="26" bestFit="1" customWidth="1"/>
    <col min="64" max="68" width="12.68359375" style="26" bestFit="1" customWidth="1"/>
    <col min="69" max="78" width="13.578125" style="26" bestFit="1" customWidth="1"/>
    <col min="79" max="79" width="10.83984375" style="26" customWidth="1"/>
    <col min="80" max="80" width="14.26171875" style="26" bestFit="1" customWidth="1"/>
    <col min="81" max="83" width="12.578125" style="26" bestFit="1" customWidth="1"/>
    <col min="84" max="84" width="9.41796875" style="26" bestFit="1" customWidth="1"/>
    <col min="85" max="16383" width="9.15625" style="26"/>
    <col min="16384" max="16384" width="9.26171875" style="26" bestFit="1" customWidth="1"/>
  </cols>
  <sheetData>
    <row r="1" spans="1:84" s="226" customFormat="1" ht="15" customHeight="1" x14ac:dyDescent="0.5">
      <c r="A1" s="227"/>
      <c r="B1" s="231" t="s">
        <v>60</v>
      </c>
      <c r="C1" s="227"/>
      <c r="J1" s="3">
        <v>1942</v>
      </c>
      <c r="K1" s="3">
        <v>1943</v>
      </c>
      <c r="L1" s="3">
        <v>1944</v>
      </c>
      <c r="M1" s="3">
        <v>1945</v>
      </c>
      <c r="N1" s="3">
        <v>1946</v>
      </c>
      <c r="O1" s="3">
        <v>1947</v>
      </c>
      <c r="P1" s="3">
        <v>1948</v>
      </c>
      <c r="Q1" s="3">
        <v>1949</v>
      </c>
      <c r="R1" s="3">
        <v>1950</v>
      </c>
      <c r="S1" s="3">
        <v>1951</v>
      </c>
      <c r="T1" s="3">
        <v>1952</v>
      </c>
      <c r="U1" s="3">
        <v>1953</v>
      </c>
      <c r="V1" s="3">
        <v>1954</v>
      </c>
      <c r="W1" s="3" t="s">
        <v>0</v>
      </c>
      <c r="X1" s="3" t="s">
        <v>1</v>
      </c>
      <c r="Y1" s="3" t="s">
        <v>2</v>
      </c>
      <c r="Z1" s="3" t="s">
        <v>3</v>
      </c>
      <c r="AA1" s="3" t="s">
        <v>4</v>
      </c>
      <c r="AB1" s="3" t="s">
        <v>5</v>
      </c>
      <c r="AC1" s="3" t="s">
        <v>6</v>
      </c>
      <c r="AD1" s="3" t="s">
        <v>7</v>
      </c>
      <c r="AE1" s="3" t="s">
        <v>8</v>
      </c>
      <c r="AF1" s="3" t="s">
        <v>9</v>
      </c>
      <c r="AG1" s="3" t="s">
        <v>10</v>
      </c>
      <c r="AH1" s="3" t="s">
        <v>11</v>
      </c>
      <c r="AI1" s="3" t="s">
        <v>12</v>
      </c>
      <c r="AJ1" s="3" t="s">
        <v>13</v>
      </c>
      <c r="AK1" s="3" t="s">
        <v>14</v>
      </c>
      <c r="AL1" s="3" t="s">
        <v>15</v>
      </c>
      <c r="AM1" s="3" t="s">
        <v>16</v>
      </c>
      <c r="AN1" s="3" t="s">
        <v>17</v>
      </c>
      <c r="AO1" s="3" t="s">
        <v>18</v>
      </c>
      <c r="AP1" s="3" t="s">
        <v>19</v>
      </c>
      <c r="AQ1" s="3" t="s">
        <v>20</v>
      </c>
      <c r="AR1" s="3" t="s">
        <v>21</v>
      </c>
      <c r="AS1" s="3" t="s">
        <v>22</v>
      </c>
      <c r="AT1" s="3" t="s">
        <v>23</v>
      </c>
      <c r="AU1" s="3" t="s">
        <v>24</v>
      </c>
      <c r="AV1" s="3" t="s">
        <v>25</v>
      </c>
      <c r="AW1" s="3" t="s">
        <v>26</v>
      </c>
      <c r="AX1" s="3" t="s">
        <v>27</v>
      </c>
      <c r="AY1" s="3" t="s">
        <v>28</v>
      </c>
      <c r="AZ1" s="3" t="s">
        <v>29</v>
      </c>
      <c r="BA1" s="3" t="s">
        <v>30</v>
      </c>
      <c r="BB1" s="3" t="s">
        <v>31</v>
      </c>
      <c r="BC1" s="3" t="s">
        <v>32</v>
      </c>
      <c r="BD1" s="3" t="s">
        <v>33</v>
      </c>
      <c r="BE1" s="3" t="s">
        <v>34</v>
      </c>
      <c r="BF1" s="3" t="s">
        <v>35</v>
      </c>
      <c r="BG1" s="3" t="s">
        <v>36</v>
      </c>
      <c r="BH1" s="3" t="s">
        <v>37</v>
      </c>
      <c r="BI1" s="3" t="s">
        <v>38</v>
      </c>
      <c r="BJ1" s="3" t="s">
        <v>39</v>
      </c>
      <c r="BK1" s="3" t="s">
        <v>40</v>
      </c>
      <c r="BL1" s="3" t="s">
        <v>41</v>
      </c>
      <c r="BM1" s="3" t="s">
        <v>42</v>
      </c>
      <c r="BN1" s="3" t="s">
        <v>43</v>
      </c>
      <c r="BO1" s="3" t="s">
        <v>44</v>
      </c>
      <c r="BP1" s="3" t="s">
        <v>45</v>
      </c>
      <c r="BQ1" s="3" t="s">
        <v>46</v>
      </c>
      <c r="BR1" s="3" t="s">
        <v>47</v>
      </c>
      <c r="BS1" s="3" t="s">
        <v>48</v>
      </c>
      <c r="BT1" s="3" t="s">
        <v>49</v>
      </c>
      <c r="BU1" s="3" t="s">
        <v>50</v>
      </c>
      <c r="BV1" s="3" t="s">
        <v>51</v>
      </c>
      <c r="BW1" s="3" t="s">
        <v>52</v>
      </c>
      <c r="BX1" s="3" t="s">
        <v>53</v>
      </c>
      <c r="BY1" s="3" t="s">
        <v>54</v>
      </c>
      <c r="BZ1" s="3" t="s">
        <v>55</v>
      </c>
      <c r="CA1" s="3" t="s">
        <v>56</v>
      </c>
      <c r="CB1" s="3" t="s">
        <v>57</v>
      </c>
      <c r="CC1" s="3" t="s">
        <v>58</v>
      </c>
      <c r="CD1" s="3" t="s">
        <v>177</v>
      </c>
      <c r="CE1" s="3" t="s">
        <v>415</v>
      </c>
      <c r="CF1" s="3" t="s">
        <v>416</v>
      </c>
    </row>
    <row r="2" spans="1:84" s="226" customFormat="1" x14ac:dyDescent="0.5">
      <c r="A2" s="228" t="s">
        <v>59</v>
      </c>
      <c r="B2" s="231"/>
      <c r="C2" s="228" t="s">
        <v>61</v>
      </c>
      <c r="D2" s="3">
        <v>1936</v>
      </c>
      <c r="E2" s="3">
        <v>1937</v>
      </c>
      <c r="F2" s="3">
        <v>1938</v>
      </c>
      <c r="G2" s="3">
        <v>1939</v>
      </c>
      <c r="H2" s="3">
        <v>1940</v>
      </c>
      <c r="I2" s="3">
        <v>1941</v>
      </c>
      <c r="J2" s="3">
        <v>1942</v>
      </c>
      <c r="K2" s="3">
        <v>1943</v>
      </c>
      <c r="L2" s="3">
        <v>1944</v>
      </c>
      <c r="M2" s="3">
        <v>1945</v>
      </c>
      <c r="N2" s="3">
        <v>1946</v>
      </c>
      <c r="O2" s="3">
        <v>1947</v>
      </c>
      <c r="P2" s="3">
        <v>1948</v>
      </c>
      <c r="Q2" s="3">
        <v>1949</v>
      </c>
      <c r="R2" s="3">
        <v>1950</v>
      </c>
      <c r="S2" s="3">
        <v>1951</v>
      </c>
      <c r="T2" s="3">
        <v>1952</v>
      </c>
      <c r="U2" s="3">
        <v>1953</v>
      </c>
      <c r="V2" s="3">
        <v>1954</v>
      </c>
      <c r="W2" s="3">
        <v>1955</v>
      </c>
      <c r="X2" s="3">
        <v>1956</v>
      </c>
      <c r="Y2" s="3">
        <v>1957</v>
      </c>
      <c r="Z2" s="3">
        <v>1958</v>
      </c>
      <c r="AA2" s="3">
        <v>1959</v>
      </c>
      <c r="AB2" s="3">
        <v>1960</v>
      </c>
      <c r="AC2" s="3">
        <v>1961</v>
      </c>
      <c r="AD2" s="3">
        <v>1962</v>
      </c>
      <c r="AE2" s="3">
        <v>1963</v>
      </c>
      <c r="AF2" s="3">
        <v>1964</v>
      </c>
      <c r="AG2" s="3">
        <v>1965</v>
      </c>
      <c r="AH2" s="3">
        <v>1966</v>
      </c>
      <c r="AI2" s="3">
        <v>1967</v>
      </c>
      <c r="AJ2" s="3">
        <v>1968</v>
      </c>
      <c r="AK2" s="3">
        <v>1969</v>
      </c>
      <c r="AL2" s="3">
        <v>1970</v>
      </c>
      <c r="AM2" s="3">
        <v>1971</v>
      </c>
      <c r="AN2" s="3">
        <v>1972</v>
      </c>
      <c r="AO2" s="3">
        <v>1973</v>
      </c>
      <c r="AP2" s="3">
        <v>1974</v>
      </c>
      <c r="AQ2" s="3">
        <v>1975</v>
      </c>
      <c r="AR2" s="3">
        <v>1976</v>
      </c>
      <c r="AS2" s="3">
        <v>1977</v>
      </c>
      <c r="AT2" s="3">
        <v>1978</v>
      </c>
      <c r="AU2" s="3">
        <v>1979</v>
      </c>
      <c r="AV2" s="3">
        <v>1980</v>
      </c>
      <c r="AW2" s="3">
        <v>1981</v>
      </c>
      <c r="AX2" s="3">
        <v>1982</v>
      </c>
      <c r="AY2" s="3">
        <v>1983</v>
      </c>
      <c r="AZ2" s="3">
        <v>1984</v>
      </c>
      <c r="BA2" s="3">
        <v>1985</v>
      </c>
      <c r="BB2" s="3">
        <v>1986</v>
      </c>
      <c r="BC2" s="3">
        <v>1987</v>
      </c>
      <c r="BD2" s="3">
        <v>1988</v>
      </c>
      <c r="BE2" s="3">
        <v>1989</v>
      </c>
      <c r="BF2" s="3">
        <v>1990</v>
      </c>
      <c r="BG2" s="3">
        <v>1991</v>
      </c>
      <c r="BH2" s="3">
        <v>1992</v>
      </c>
      <c r="BI2" s="3">
        <v>1993</v>
      </c>
      <c r="BJ2" s="3">
        <v>1994</v>
      </c>
      <c r="BK2" s="3">
        <v>1995</v>
      </c>
      <c r="BL2" s="3">
        <v>1996</v>
      </c>
      <c r="BM2" s="3">
        <v>1997</v>
      </c>
      <c r="BN2" s="3">
        <v>1998</v>
      </c>
      <c r="BO2" s="3">
        <v>1999</v>
      </c>
      <c r="BP2" s="3">
        <v>2000</v>
      </c>
      <c r="BQ2" s="3">
        <v>2001</v>
      </c>
      <c r="BR2" s="3">
        <v>2002</v>
      </c>
      <c r="BS2" s="3">
        <v>2003</v>
      </c>
      <c r="BT2" s="3">
        <v>2004</v>
      </c>
      <c r="BU2" s="3">
        <v>2005</v>
      </c>
      <c r="BV2" s="3">
        <v>2006</v>
      </c>
      <c r="BW2" s="3">
        <v>2007</v>
      </c>
      <c r="BX2" s="3">
        <v>2008</v>
      </c>
      <c r="BY2" s="3">
        <v>2009</v>
      </c>
      <c r="BZ2" s="3">
        <v>2010</v>
      </c>
      <c r="CA2" s="3">
        <v>2011</v>
      </c>
      <c r="CB2" s="3">
        <v>2012</v>
      </c>
      <c r="CC2" s="3">
        <v>2013</v>
      </c>
      <c r="CD2" s="3">
        <v>2014</v>
      </c>
      <c r="CE2" s="3">
        <v>2015</v>
      </c>
      <c r="CF2" s="3">
        <v>2016</v>
      </c>
    </row>
    <row r="3" spans="1:84" s="4" customFormat="1" x14ac:dyDescent="0.5">
      <c r="E3" s="5"/>
      <c r="F3" s="5"/>
      <c r="G3" s="5"/>
      <c r="H3" s="5"/>
      <c r="I3" s="5"/>
      <c r="J3" s="5"/>
      <c r="K3" s="5"/>
      <c r="L3" s="5"/>
      <c r="M3" s="5"/>
      <c r="N3" s="5"/>
      <c r="O3" s="5"/>
      <c r="P3" s="5"/>
      <c r="Q3" s="5"/>
      <c r="R3" s="5"/>
      <c r="S3" s="5"/>
      <c r="T3" s="5"/>
      <c r="U3" s="5"/>
      <c r="V3" s="5"/>
      <c r="W3" s="5"/>
      <c r="X3" s="5"/>
      <c r="Y3" s="5"/>
      <c r="Z3" s="5"/>
      <c r="AA3" s="5"/>
      <c r="AB3" s="5"/>
      <c r="AC3" s="6"/>
      <c r="AD3" s="5"/>
      <c r="AE3" s="5"/>
      <c r="AF3" s="5"/>
      <c r="AG3" s="5"/>
      <c r="AH3" s="5"/>
      <c r="AI3" s="5"/>
      <c r="AJ3" s="5"/>
      <c r="AK3" s="5"/>
      <c r="AL3" s="5"/>
      <c r="AM3" s="5"/>
      <c r="AN3" s="5"/>
      <c r="AO3" s="5"/>
      <c r="AP3" s="5"/>
      <c r="AQ3" s="5"/>
      <c r="AR3" s="5"/>
      <c r="AS3" s="5"/>
      <c r="AT3" s="5"/>
      <c r="AU3" s="6"/>
      <c r="AV3" s="6"/>
      <c r="AW3" s="5"/>
      <c r="AX3" s="5"/>
      <c r="AY3" s="5"/>
      <c r="AZ3" s="5"/>
      <c r="BA3" s="5"/>
      <c r="BB3" s="5"/>
      <c r="BC3" s="5"/>
      <c r="BD3" s="5"/>
      <c r="BE3" s="5"/>
      <c r="BF3" s="5"/>
      <c r="BG3" s="5"/>
      <c r="BH3" s="5"/>
      <c r="BI3" s="5"/>
    </row>
    <row r="4" spans="1:84" s="7" customFormat="1" x14ac:dyDescent="0.5">
      <c r="A4" s="7" t="s">
        <v>62</v>
      </c>
      <c r="C4" s="8" t="s">
        <v>63</v>
      </c>
      <c r="D4" s="8"/>
      <c r="E4" s="8"/>
      <c r="F4" s="8"/>
      <c r="G4" s="8"/>
      <c r="H4" s="8"/>
      <c r="I4" s="8"/>
      <c r="J4" s="8"/>
      <c r="K4" s="8"/>
      <c r="L4" s="8"/>
      <c r="M4" s="8"/>
      <c r="N4" s="8"/>
      <c r="O4" s="9"/>
      <c r="P4" s="9"/>
      <c r="Q4" s="9"/>
      <c r="R4" s="9"/>
      <c r="S4" s="9"/>
      <c r="T4" s="9"/>
      <c r="U4" s="9"/>
      <c r="V4" s="9"/>
      <c r="W4" s="9"/>
      <c r="X4" s="9"/>
      <c r="Y4" s="9"/>
      <c r="Z4" s="9"/>
      <c r="AA4" s="9"/>
      <c r="AB4" s="9"/>
    </row>
    <row r="5" spans="1:84" s="82" customFormat="1" x14ac:dyDescent="0.5">
      <c r="B5" s="10" t="s">
        <v>64</v>
      </c>
      <c r="C5" s="30" t="s">
        <v>63</v>
      </c>
      <c r="D5" s="67">
        <v>4081800.1547122332</v>
      </c>
      <c r="E5" s="67">
        <v>4138945.3568782052</v>
      </c>
      <c r="F5" s="67">
        <v>4196890.5918745017</v>
      </c>
      <c r="G5" s="67">
        <v>4255647.0601607449</v>
      </c>
      <c r="H5" s="67">
        <v>4315226.1190029997</v>
      </c>
      <c r="I5" s="67">
        <v>4392900.1891450537</v>
      </c>
      <c r="J5" s="67">
        <v>4471972.3925496647</v>
      </c>
      <c r="K5" s="67">
        <v>4552467.8956155581</v>
      </c>
      <c r="L5" s="67">
        <v>4634412.3177366387</v>
      </c>
      <c r="M5" s="67">
        <v>4717831.7394558983</v>
      </c>
      <c r="N5" s="67">
        <v>4802752.710766105</v>
      </c>
      <c r="O5" s="67">
        <v>4889202.259559894</v>
      </c>
      <c r="P5" s="67">
        <v>4977207.9002319723</v>
      </c>
      <c r="Q5" s="67">
        <v>5066797.6424361486</v>
      </c>
      <c r="R5" s="67">
        <v>5158000.0000000056</v>
      </c>
      <c r="S5" s="67">
        <v>5301527.1389870467</v>
      </c>
      <c r="T5" s="67">
        <v>5449048.0817014631</v>
      </c>
      <c r="U5" s="67">
        <v>5600673.960214342</v>
      </c>
      <c r="V5" s="67">
        <v>5756518.9989713766</v>
      </c>
      <c r="W5" s="67">
        <v>5916700.6008416573</v>
      </c>
      <c r="X5" s="67">
        <v>6081339.4355608709</v>
      </c>
      <c r="Y5" s="67">
        <v>6250559.5306355348</v>
      </c>
      <c r="Z5" s="67">
        <v>6424488.3647767324</v>
      </c>
      <c r="AA5" s="67">
        <v>6603256.9639337575</v>
      </c>
      <c r="AB5" s="30">
        <v>6788211</v>
      </c>
      <c r="AC5" s="26">
        <v>7006629</v>
      </c>
      <c r="AD5" s="26">
        <v>7240155</v>
      </c>
      <c r="AE5" s="26">
        <v>7487411</v>
      </c>
      <c r="AF5" s="26">
        <v>7746181</v>
      </c>
      <c r="AG5" s="26">
        <v>8014376</v>
      </c>
      <c r="AH5" s="26">
        <v>8292747</v>
      </c>
      <c r="AI5" s="26">
        <v>8580632</v>
      </c>
      <c r="AJ5" s="26">
        <v>8872866</v>
      </c>
      <c r="AK5" s="26">
        <v>9162773</v>
      </c>
      <c r="AL5" s="26">
        <v>9446024</v>
      </c>
      <c r="AM5" s="26">
        <v>9720365</v>
      </c>
      <c r="AN5" s="26">
        <v>9988321</v>
      </c>
      <c r="AO5" s="26">
        <v>10256342</v>
      </c>
      <c r="AP5" s="26">
        <v>10533627</v>
      </c>
      <c r="AQ5" s="26">
        <v>10827071</v>
      </c>
      <c r="AR5" s="26">
        <v>11139772</v>
      </c>
      <c r="AS5" s="26">
        <v>11470741</v>
      </c>
      <c r="AT5" s="26">
        <v>11817951</v>
      </c>
      <c r="AU5" s="26">
        <v>12177677</v>
      </c>
      <c r="AV5" s="26">
        <v>12547754</v>
      </c>
      <c r="AW5" s="26">
        <v>12927007</v>
      </c>
      <c r="AX5" s="26">
        <v>13318149</v>
      </c>
      <c r="AY5" s="26">
        <v>13727427</v>
      </c>
      <c r="AZ5" s="26">
        <v>14163214</v>
      </c>
      <c r="BA5" s="26">
        <v>14631089</v>
      </c>
      <c r="BB5" s="26">
        <v>15133740</v>
      </c>
      <c r="BC5" s="26">
        <v>15668278</v>
      </c>
      <c r="BD5" s="26">
        <v>16227778</v>
      </c>
      <c r="BE5" s="26">
        <v>16802258</v>
      </c>
      <c r="BF5" s="26">
        <v>17384369</v>
      </c>
      <c r="BG5" s="26">
        <v>17973428</v>
      </c>
      <c r="BH5" s="26">
        <v>18571527</v>
      </c>
      <c r="BI5" s="26">
        <v>19177660</v>
      </c>
      <c r="BJ5" s="26">
        <v>19791266</v>
      </c>
      <c r="BK5" s="26">
        <v>20412967</v>
      </c>
      <c r="BL5" s="26">
        <v>21041468</v>
      </c>
      <c r="BM5" s="26">
        <v>21679497</v>
      </c>
      <c r="BN5" s="26">
        <v>22336812</v>
      </c>
      <c r="BO5" s="26">
        <v>23026357</v>
      </c>
      <c r="BP5" s="26">
        <v>23757636</v>
      </c>
      <c r="BQ5" s="26">
        <v>24534668</v>
      </c>
      <c r="BR5" s="26">
        <v>25355794</v>
      </c>
      <c r="BS5" s="26">
        <v>26217760</v>
      </c>
      <c r="BT5" s="26">
        <v>27114742</v>
      </c>
      <c r="BU5" s="26">
        <v>28042413</v>
      </c>
      <c r="BV5" s="26">
        <v>29000925</v>
      </c>
      <c r="BW5" s="26">
        <v>29991958</v>
      </c>
      <c r="BX5" s="26">
        <v>31014427</v>
      </c>
      <c r="BY5" s="26">
        <v>32067125</v>
      </c>
      <c r="BZ5" s="26">
        <v>33149417</v>
      </c>
      <c r="CA5" s="26">
        <v>34260342</v>
      </c>
      <c r="CB5" s="26">
        <v>35400620</v>
      </c>
      <c r="CC5" s="26">
        <v>36573387</v>
      </c>
      <c r="CD5" s="26">
        <v>37782971</v>
      </c>
      <c r="CE5" s="26">
        <v>39032383</v>
      </c>
    </row>
    <row r="6" spans="1:84" s="114" customFormat="1" x14ac:dyDescent="0.55000000000000004">
      <c r="B6" s="66" t="s">
        <v>305</v>
      </c>
      <c r="C6" s="66" t="s">
        <v>306</v>
      </c>
      <c r="D6" s="67"/>
      <c r="E6" s="67"/>
      <c r="F6" s="67"/>
      <c r="G6" s="67"/>
      <c r="H6" s="67"/>
      <c r="I6" s="67"/>
      <c r="J6" s="67"/>
      <c r="K6" s="67"/>
      <c r="L6" s="67"/>
      <c r="M6" s="67"/>
      <c r="N6" s="67"/>
      <c r="O6" s="67"/>
      <c r="P6" s="67"/>
      <c r="Q6" s="67"/>
      <c r="R6" s="67"/>
      <c r="S6" s="67"/>
      <c r="T6" s="67"/>
      <c r="U6" s="67"/>
      <c r="V6" s="67"/>
      <c r="W6" s="67"/>
      <c r="X6" s="67"/>
      <c r="Y6" s="67"/>
      <c r="Z6" s="67"/>
      <c r="AA6" s="83">
        <v>6449558</v>
      </c>
      <c r="AB6" s="67"/>
      <c r="AC6" s="122"/>
      <c r="AD6" s="122"/>
      <c r="AE6" s="122"/>
      <c r="AF6" s="122"/>
      <c r="AG6" s="122"/>
      <c r="AH6" s="122"/>
      <c r="AI6" s="68"/>
      <c r="AJ6" s="122"/>
      <c r="AK6" s="83">
        <v>9535051</v>
      </c>
      <c r="AL6" s="122"/>
      <c r="AM6" s="122"/>
      <c r="AN6" s="122"/>
      <c r="AO6" s="122"/>
      <c r="AP6" s="122"/>
      <c r="AQ6" s="122"/>
      <c r="AR6" s="122"/>
      <c r="AS6" s="122"/>
      <c r="AT6" s="122"/>
      <c r="AU6" s="122"/>
      <c r="AV6" s="83">
        <v>12636179</v>
      </c>
      <c r="AW6" s="122"/>
      <c r="AX6" s="122"/>
      <c r="AY6" s="122"/>
      <c r="AZ6" s="122"/>
      <c r="BA6" s="122"/>
      <c r="BB6" s="122"/>
      <c r="BC6" s="122"/>
      <c r="BD6" s="122"/>
      <c r="BE6" s="122"/>
      <c r="BF6" s="122"/>
      <c r="BG6" s="83">
        <v>16671705</v>
      </c>
      <c r="BH6" s="122"/>
      <c r="BI6" s="122"/>
      <c r="BJ6" s="122"/>
      <c r="BK6" s="122"/>
      <c r="BL6" s="122"/>
      <c r="BM6" s="122"/>
      <c r="BN6" s="122"/>
      <c r="BO6" s="122"/>
      <c r="BP6" s="122"/>
      <c r="BQ6" s="122"/>
      <c r="BR6" s="83">
        <v>24227297</v>
      </c>
      <c r="BS6" s="122"/>
      <c r="BT6" s="122"/>
      <c r="BU6" s="122"/>
      <c r="BV6" s="122"/>
      <c r="BW6" s="122"/>
      <c r="BX6" s="122"/>
      <c r="BY6" s="122"/>
      <c r="BZ6" s="66"/>
      <c r="CA6" s="66"/>
      <c r="CB6" s="66"/>
      <c r="CD6" s="83">
        <v>34634650</v>
      </c>
    </row>
    <row r="7" spans="1:84" s="82" customFormat="1" x14ac:dyDescent="0.55000000000000004">
      <c r="B7" s="30" t="s">
        <v>103</v>
      </c>
      <c r="C7" s="66" t="s">
        <v>183</v>
      </c>
      <c r="D7" s="123"/>
      <c r="E7" s="123"/>
      <c r="F7" s="123"/>
      <c r="G7" s="123"/>
      <c r="H7" s="123"/>
      <c r="I7" s="123"/>
      <c r="J7" s="123"/>
      <c r="K7" s="123"/>
      <c r="L7" s="123"/>
      <c r="M7" s="123"/>
      <c r="N7" s="115">
        <v>51.491873190152702</v>
      </c>
      <c r="O7" s="115">
        <v>51.491873190152702</v>
      </c>
      <c r="P7" s="115">
        <v>51.491873190152702</v>
      </c>
      <c r="Q7" s="115">
        <v>51.491873190152702</v>
      </c>
      <c r="R7" s="115">
        <v>51.491873190152702</v>
      </c>
      <c r="S7" s="115">
        <v>51.491873190152702</v>
      </c>
      <c r="T7" s="115">
        <v>51.491873190152702</v>
      </c>
      <c r="U7" s="115">
        <v>51.491873190152702</v>
      </c>
      <c r="V7" s="115">
        <v>51.491873190152702</v>
      </c>
      <c r="W7" s="115">
        <v>51.491873190152702</v>
      </c>
      <c r="X7" s="115">
        <v>51.491873190152702</v>
      </c>
      <c r="Y7" s="115">
        <v>51.491873190152702</v>
      </c>
      <c r="Z7" s="115">
        <v>51.491873190152702</v>
      </c>
      <c r="AA7" s="115">
        <v>51.491873190152702</v>
      </c>
      <c r="AB7" s="85">
        <v>51.491873190152702</v>
      </c>
      <c r="AC7" s="85">
        <v>51.290827586275803</v>
      </c>
      <c r="AD7" s="85">
        <v>51.111281457372101</v>
      </c>
      <c r="AE7" s="85">
        <v>50.9623419897746</v>
      </c>
      <c r="AF7" s="85">
        <v>50.8746826339328</v>
      </c>
      <c r="AG7" s="85">
        <v>50.858245233315699</v>
      </c>
      <c r="AH7" s="85">
        <v>50.662910613334802</v>
      </c>
      <c r="AI7" s="85">
        <v>50.552010621129099</v>
      </c>
      <c r="AJ7" s="85">
        <v>50.504312811666502</v>
      </c>
      <c r="AK7" s="85">
        <v>50.500083326303098</v>
      </c>
      <c r="AL7" s="85">
        <v>50.535378694782104</v>
      </c>
      <c r="AM7" s="85">
        <v>50.370557072702503</v>
      </c>
      <c r="AN7" s="85">
        <v>50.272032706998502</v>
      </c>
      <c r="AO7" s="85">
        <v>50.224329492912801</v>
      </c>
      <c r="AP7" s="85">
        <v>50.207663514191303</v>
      </c>
      <c r="AQ7" s="85">
        <v>50.207595387524499</v>
      </c>
      <c r="AR7" s="85">
        <v>50.082299709545197</v>
      </c>
      <c r="AS7" s="85">
        <v>49.994895709004297</v>
      </c>
      <c r="AT7" s="85">
        <v>49.941813094334201</v>
      </c>
      <c r="AU7" s="85">
        <v>49.927001676920803</v>
      </c>
      <c r="AV7" s="85">
        <v>49.950429375647602</v>
      </c>
      <c r="AW7" s="85">
        <v>49.816968459907201</v>
      </c>
      <c r="AX7" s="85">
        <v>49.754031134506803</v>
      </c>
      <c r="AY7" s="85">
        <v>49.740282720133898</v>
      </c>
      <c r="AZ7" s="85">
        <v>49.748058597434202</v>
      </c>
      <c r="BA7" s="85">
        <v>49.757991356624203</v>
      </c>
      <c r="BB7" s="85">
        <v>49.569465313927701</v>
      </c>
      <c r="BC7" s="85">
        <v>49.437659964930397</v>
      </c>
      <c r="BD7" s="85">
        <v>49.347883610436398</v>
      </c>
      <c r="BE7" s="85">
        <v>49.291583309814698</v>
      </c>
      <c r="BF7" s="85">
        <v>49.266211502988703</v>
      </c>
      <c r="BG7" s="85">
        <v>49.001514903000199</v>
      </c>
      <c r="BH7" s="85">
        <v>48.791195252819001</v>
      </c>
      <c r="BI7" s="85">
        <v>48.632168888175102</v>
      </c>
      <c r="BJ7" s="85">
        <v>48.525516255503803</v>
      </c>
      <c r="BK7" s="85">
        <v>48.471493634413903</v>
      </c>
      <c r="BL7" s="85">
        <v>48.246215520704197</v>
      </c>
      <c r="BM7" s="85">
        <v>48.103394649792797</v>
      </c>
      <c r="BN7" s="85">
        <v>48.024547997270197</v>
      </c>
      <c r="BO7" s="85">
        <v>47.986526917827199</v>
      </c>
      <c r="BP7" s="85">
        <v>47.973447358146203</v>
      </c>
      <c r="BQ7" s="85">
        <v>47.9313353659402</v>
      </c>
      <c r="BR7" s="85">
        <v>47.912768971068303</v>
      </c>
      <c r="BS7" s="85">
        <v>47.914726506001998</v>
      </c>
      <c r="BT7" s="85">
        <v>47.944870727517902</v>
      </c>
      <c r="BU7" s="85">
        <v>48.007605479599803</v>
      </c>
      <c r="BV7" s="85">
        <v>48.031971394015898</v>
      </c>
      <c r="BW7" s="85">
        <v>48.106875849852798</v>
      </c>
      <c r="BX7" s="85">
        <v>48.217766525236797</v>
      </c>
      <c r="BY7" s="85">
        <v>48.350053208698903</v>
      </c>
      <c r="BZ7" s="85">
        <v>48.499392915416898</v>
      </c>
      <c r="CA7" s="85">
        <v>48.6202385253481</v>
      </c>
      <c r="CB7" s="85">
        <v>48.774931060529497</v>
      </c>
      <c r="CC7" s="85">
        <v>48.960051197883303</v>
      </c>
      <c r="CD7" s="85">
        <v>49.175553187704601</v>
      </c>
      <c r="CE7" s="85">
        <v>49.4204542930418</v>
      </c>
    </row>
    <row r="8" spans="1:84" s="7" customFormat="1" x14ac:dyDescent="0.5">
      <c r="A8" s="7" t="s">
        <v>62</v>
      </c>
      <c r="C8" s="8" t="s">
        <v>185</v>
      </c>
      <c r="D8" s="8"/>
      <c r="E8" s="8"/>
      <c r="F8" s="8"/>
      <c r="G8" s="8"/>
      <c r="H8" s="8"/>
      <c r="I8" s="8"/>
      <c r="J8" s="8"/>
      <c r="K8" s="8"/>
      <c r="L8" s="8"/>
      <c r="M8" s="8"/>
      <c r="N8" s="8"/>
      <c r="O8" s="9"/>
      <c r="P8" s="9"/>
      <c r="Q8" s="9"/>
      <c r="R8" s="9"/>
      <c r="S8" s="9"/>
      <c r="T8" s="9"/>
      <c r="U8" s="9"/>
      <c r="V8" s="9"/>
      <c r="W8" s="9"/>
      <c r="X8" s="9"/>
      <c r="Y8" s="9"/>
      <c r="Z8" s="9"/>
      <c r="AA8" s="9"/>
      <c r="AB8" s="9"/>
    </row>
    <row r="9" spans="1:84" s="66" customFormat="1" x14ac:dyDescent="0.5">
      <c r="A9" s="10" t="s">
        <v>69</v>
      </c>
      <c r="B9" s="30"/>
      <c r="C9" s="30" t="s">
        <v>70</v>
      </c>
      <c r="Q9" s="68"/>
      <c r="R9" s="68"/>
      <c r="S9" s="68">
        <v>215.4</v>
      </c>
      <c r="T9" s="68">
        <v>216</v>
      </c>
      <c r="U9" s="68">
        <v>230.28899999999999</v>
      </c>
      <c r="V9" s="68">
        <v>235.65499999999997</v>
      </c>
      <c r="W9" s="68">
        <v>237.43799999999999</v>
      </c>
      <c r="X9" s="68">
        <v>237.07</v>
      </c>
      <c r="Y9" s="68">
        <v>240.637</v>
      </c>
      <c r="Z9" s="68">
        <v>242.99400000000003</v>
      </c>
      <c r="AA9" s="68">
        <v>239.46</v>
      </c>
      <c r="AB9" s="68">
        <v>244.29899999999998</v>
      </c>
      <c r="AC9" s="68">
        <v>235.54500000000002</v>
      </c>
      <c r="AD9" s="68">
        <v>230.786</v>
      </c>
      <c r="AE9" s="68">
        <v>220.6</v>
      </c>
      <c r="AF9" s="68">
        <v>224.84799999999998</v>
      </c>
      <c r="AG9" s="68">
        <v>240.99</v>
      </c>
      <c r="AH9" s="68">
        <v>245.51499999999999</v>
      </c>
      <c r="AI9" s="68">
        <v>256.79899999999998</v>
      </c>
      <c r="AJ9" s="68">
        <v>281.77199999999999</v>
      </c>
      <c r="AK9" s="68">
        <v>294.96899999999999</v>
      </c>
      <c r="AL9" s="68">
        <v>312.35199999999998</v>
      </c>
      <c r="AM9" s="68">
        <v>325.3</v>
      </c>
      <c r="AN9" s="68">
        <v>330</v>
      </c>
      <c r="AO9" s="68">
        <v>349.9</v>
      </c>
      <c r="AP9" s="68">
        <v>368.4</v>
      </c>
      <c r="AQ9" s="68">
        <v>367.7</v>
      </c>
      <c r="AR9" s="68">
        <v>365.5</v>
      </c>
      <c r="AS9" s="68">
        <v>362.9</v>
      </c>
      <c r="AT9" s="68"/>
      <c r="AU9" s="68"/>
      <c r="AV9" s="68"/>
      <c r="AW9" s="68"/>
      <c r="AX9" s="68"/>
      <c r="AY9" s="68"/>
      <c r="AZ9" s="68"/>
      <c r="BA9" s="68"/>
      <c r="BB9" s="68"/>
      <c r="BC9" s="68"/>
      <c r="BD9" s="68">
        <v>378.2</v>
      </c>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row>
    <row r="10" spans="1:84" s="30" customFormat="1" x14ac:dyDescent="0.55000000000000004">
      <c r="B10" s="87" t="s">
        <v>307</v>
      </c>
      <c r="C10" s="84" t="s">
        <v>71</v>
      </c>
      <c r="Q10" s="59"/>
      <c r="R10" s="59"/>
      <c r="S10" s="59">
        <v>125.37100000000001</v>
      </c>
      <c r="T10" s="59">
        <v>123.605</v>
      </c>
      <c r="U10" s="59">
        <v>130.17400000000001</v>
      </c>
      <c r="V10" s="59">
        <v>134.11199999999999</v>
      </c>
      <c r="W10" s="59">
        <v>141.74199999999999</v>
      </c>
      <c r="X10" s="59">
        <v>137.63899999999998</v>
      </c>
      <c r="Y10" s="59">
        <v>142.12899999999999</v>
      </c>
      <c r="Z10" s="59">
        <v>141.47500000000002</v>
      </c>
      <c r="AA10" s="59">
        <v>137.239</v>
      </c>
      <c r="AB10" s="59">
        <v>144.309</v>
      </c>
      <c r="AC10" s="59">
        <v>136.07500000000002</v>
      </c>
      <c r="AD10" s="59">
        <v>136.57</v>
      </c>
      <c r="AE10" s="59">
        <v>133.1</v>
      </c>
      <c r="AF10" s="59">
        <v>130.71199999999999</v>
      </c>
      <c r="AG10" s="59">
        <v>146.041</v>
      </c>
      <c r="AH10" s="59">
        <v>153.77699999999999</v>
      </c>
      <c r="AI10" s="59">
        <v>162.107</v>
      </c>
      <c r="AJ10" s="59">
        <v>172.97800000000001</v>
      </c>
      <c r="AK10" s="59">
        <v>181.13400000000001</v>
      </c>
      <c r="AL10" s="59">
        <v>183.53700000000001</v>
      </c>
      <c r="AM10" s="59">
        <v>191</v>
      </c>
      <c r="AN10" s="59">
        <v>181</v>
      </c>
      <c r="AO10" s="59">
        <v>166</v>
      </c>
      <c r="AP10" s="59">
        <v>164</v>
      </c>
      <c r="AQ10" s="59">
        <v>163.1</v>
      </c>
      <c r="AR10" s="59">
        <v>164.7</v>
      </c>
      <c r="AS10" s="59">
        <v>161.1</v>
      </c>
      <c r="AT10" s="59"/>
      <c r="AU10" s="59"/>
      <c r="AV10" s="59"/>
      <c r="AW10" s="59"/>
      <c r="AX10" s="59"/>
      <c r="AY10" s="59"/>
      <c r="AZ10" s="59"/>
      <c r="BA10" s="59"/>
      <c r="BB10" s="59"/>
      <c r="BC10" s="68"/>
      <c r="BD10" s="59"/>
      <c r="BE10" s="59"/>
      <c r="BF10" s="59"/>
      <c r="BG10" s="59"/>
      <c r="BH10" s="59"/>
      <c r="BI10" s="59"/>
      <c r="BJ10" s="59"/>
      <c r="BK10" s="59"/>
      <c r="BL10" s="59"/>
      <c r="BM10" s="59"/>
      <c r="BN10" s="59"/>
      <c r="BO10" s="59"/>
      <c r="BP10" s="59"/>
      <c r="BQ10" s="59"/>
      <c r="BR10" s="59"/>
      <c r="BS10" s="59"/>
      <c r="BT10" s="59"/>
      <c r="BU10" s="59"/>
      <c r="BV10" s="59"/>
      <c r="BW10" s="59"/>
      <c r="BX10" s="59"/>
      <c r="BY10" s="59"/>
      <c r="BZ10" s="59"/>
      <c r="CA10" s="59"/>
      <c r="CB10" s="59"/>
      <c r="CC10" s="59"/>
      <c r="CD10" s="59"/>
      <c r="CE10" s="59"/>
    </row>
    <row r="11" spans="1:84" s="30" customFormat="1" x14ac:dyDescent="0.55000000000000004">
      <c r="B11" s="87"/>
      <c r="C11" s="89" t="s">
        <v>72</v>
      </c>
      <c r="Q11" s="68">
        <v>84.3</v>
      </c>
      <c r="R11" s="174">
        <v>104.3745</v>
      </c>
      <c r="S11" s="59">
        <v>119.251</v>
      </c>
      <c r="T11" s="59">
        <v>117.30500000000001</v>
      </c>
      <c r="U11" s="59">
        <v>123.584</v>
      </c>
      <c r="V11" s="59">
        <v>126.735</v>
      </c>
      <c r="W11" s="59">
        <v>134.06299999999999</v>
      </c>
      <c r="X11" s="59">
        <v>129.91499999999999</v>
      </c>
      <c r="Y11" s="59">
        <v>132.31</v>
      </c>
      <c r="Z11" s="59">
        <v>131.16900000000001</v>
      </c>
      <c r="AA11" s="59">
        <v>126.33799999999999</v>
      </c>
      <c r="AB11" s="59">
        <v>133.31899999999999</v>
      </c>
      <c r="AC11" s="59">
        <v>125.63500000000001</v>
      </c>
      <c r="AD11" s="59">
        <v>126.14</v>
      </c>
      <c r="AE11" s="59">
        <v>122.9</v>
      </c>
      <c r="AF11" s="59">
        <v>120.7</v>
      </c>
      <c r="AG11" s="59">
        <v>135.364</v>
      </c>
      <c r="AH11" s="59">
        <v>142.65899999999999</v>
      </c>
      <c r="AI11" s="59">
        <v>150.19999999999999</v>
      </c>
      <c r="AJ11" s="59">
        <v>161</v>
      </c>
      <c r="AK11" s="59">
        <v>169.53200000000001</v>
      </c>
      <c r="AL11" s="59">
        <v>172.732</v>
      </c>
      <c r="AM11" s="174">
        <v>180.19499999999999</v>
      </c>
      <c r="AN11" s="174">
        <v>170.19499999999999</v>
      </c>
      <c r="AO11" s="174">
        <v>155.19499999999999</v>
      </c>
      <c r="AP11" s="59"/>
      <c r="AQ11" s="59"/>
      <c r="AR11" s="59"/>
      <c r="AS11" s="59"/>
      <c r="AT11" s="59"/>
      <c r="AU11" s="59"/>
      <c r="AV11" s="59"/>
      <c r="AW11" s="59"/>
      <c r="AX11" s="59"/>
      <c r="AY11" s="59"/>
      <c r="AZ11" s="59"/>
      <c r="BA11" s="59"/>
      <c r="BB11" s="59"/>
      <c r="BC11" s="59"/>
      <c r="BD11" s="59">
        <f>80.439+53.6</f>
        <v>134.03899999999999</v>
      </c>
      <c r="BE11" s="59"/>
      <c r="BF11" s="59"/>
      <c r="BG11" s="59"/>
      <c r="BH11" s="59"/>
      <c r="BI11" s="59"/>
      <c r="BJ11" s="59"/>
      <c r="BK11" s="59"/>
      <c r="BL11" s="59"/>
      <c r="BM11" s="59"/>
      <c r="BN11" s="59"/>
      <c r="BO11" s="59"/>
      <c r="BP11" s="59"/>
      <c r="BQ11" s="59"/>
      <c r="BR11" s="59"/>
      <c r="BS11" s="59"/>
      <c r="BT11" s="59"/>
      <c r="BU11" s="59"/>
      <c r="BV11" s="59"/>
      <c r="BW11" s="59"/>
      <c r="BX11" s="59"/>
      <c r="BY11" s="59"/>
      <c r="BZ11" s="59"/>
      <c r="CA11" s="59"/>
      <c r="CB11" s="59"/>
      <c r="CC11" s="59"/>
      <c r="CD11" s="59"/>
      <c r="CE11" s="59"/>
    </row>
    <row r="12" spans="1:84" s="30" customFormat="1" x14ac:dyDescent="0.55000000000000004">
      <c r="B12" s="87"/>
      <c r="C12" s="89" t="s">
        <v>73</v>
      </c>
      <c r="Q12" s="68"/>
      <c r="R12" s="59"/>
      <c r="S12" s="59">
        <v>6.12</v>
      </c>
      <c r="T12" s="59">
        <v>6.3</v>
      </c>
      <c r="U12" s="59">
        <v>6.59</v>
      </c>
      <c r="V12" s="59">
        <v>7.3769999999999998</v>
      </c>
      <c r="W12" s="59">
        <v>7.6790000000000003</v>
      </c>
      <c r="X12" s="59">
        <v>7.7240000000000002</v>
      </c>
      <c r="Y12" s="59">
        <v>9.8190000000000008</v>
      </c>
      <c r="Z12" s="59">
        <v>10.305999999999999</v>
      </c>
      <c r="AA12" s="59">
        <v>10.901</v>
      </c>
      <c r="AB12" s="59">
        <v>10.99</v>
      </c>
      <c r="AC12" s="59">
        <v>10.44</v>
      </c>
      <c r="AD12" s="59">
        <v>10.43</v>
      </c>
      <c r="AE12" s="59">
        <v>10.199999999999999</v>
      </c>
      <c r="AF12" s="59">
        <v>10.012</v>
      </c>
      <c r="AG12" s="59">
        <v>10.677</v>
      </c>
      <c r="AH12" s="59">
        <v>11.118</v>
      </c>
      <c r="AI12" s="59">
        <v>11.907</v>
      </c>
      <c r="AJ12" s="59">
        <v>11.978</v>
      </c>
      <c r="AK12" s="59">
        <v>11.602</v>
      </c>
      <c r="AL12" s="59">
        <v>10.805</v>
      </c>
      <c r="AM12" s="174">
        <v>10.805</v>
      </c>
      <c r="AN12" s="174">
        <v>10.805</v>
      </c>
      <c r="AO12" s="174">
        <v>10.805</v>
      </c>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c r="BR12" s="59"/>
      <c r="BS12" s="59"/>
      <c r="BT12" s="59"/>
      <c r="BU12" s="59"/>
      <c r="BV12" s="59"/>
      <c r="BW12" s="59"/>
      <c r="BX12" s="59"/>
      <c r="BY12" s="59"/>
      <c r="BZ12" s="59"/>
      <c r="CA12" s="59"/>
      <c r="CB12" s="59"/>
      <c r="CC12" s="59"/>
      <c r="CD12" s="59"/>
      <c r="CE12" s="59"/>
    </row>
    <row r="13" spans="1:84" s="30" customFormat="1" x14ac:dyDescent="0.55000000000000004">
      <c r="B13" s="87" t="s">
        <v>308</v>
      </c>
      <c r="C13" s="84" t="s">
        <v>75</v>
      </c>
      <c r="Q13" s="68">
        <v>76.3</v>
      </c>
      <c r="R13" s="174">
        <v>80.507000000000005</v>
      </c>
      <c r="S13" s="59">
        <v>90.031000000000006</v>
      </c>
      <c r="T13" s="59">
        <v>92.347999999999999</v>
      </c>
      <c r="U13" s="59">
        <v>100.11499999999999</v>
      </c>
      <c r="V13" s="59">
        <v>101.54299999999999</v>
      </c>
      <c r="W13" s="59">
        <v>95.695999999999998</v>
      </c>
      <c r="X13" s="59">
        <v>99.430999999999997</v>
      </c>
      <c r="Y13" s="59">
        <v>98.507999999999996</v>
      </c>
      <c r="Z13" s="59">
        <v>101.51900000000001</v>
      </c>
      <c r="AA13" s="59">
        <v>102.221</v>
      </c>
      <c r="AB13" s="59">
        <v>99.99</v>
      </c>
      <c r="AC13" s="59">
        <v>99.47</v>
      </c>
      <c r="AD13" s="59">
        <v>94.215999999999994</v>
      </c>
      <c r="AE13" s="59">
        <v>87.5</v>
      </c>
      <c r="AF13" s="59">
        <v>94.135999999999996</v>
      </c>
      <c r="AG13" s="59">
        <v>94.948999999999998</v>
      </c>
      <c r="AH13" s="59">
        <v>91.738</v>
      </c>
      <c r="AI13" s="59">
        <v>94.691999999999993</v>
      </c>
      <c r="AJ13" s="59">
        <v>108.794</v>
      </c>
      <c r="AK13" s="59">
        <v>113.83499999999999</v>
      </c>
      <c r="AL13" s="59">
        <v>128.815</v>
      </c>
      <c r="AM13" s="59">
        <v>134.30000000000001</v>
      </c>
      <c r="AN13" s="59">
        <v>149</v>
      </c>
      <c r="AO13" s="59">
        <v>183.9</v>
      </c>
      <c r="AP13" s="59">
        <v>204.4</v>
      </c>
      <c r="AQ13" s="59">
        <v>204.6</v>
      </c>
      <c r="AR13" s="59">
        <v>200.8</v>
      </c>
      <c r="AS13" s="59">
        <v>201.8</v>
      </c>
      <c r="AT13" s="68"/>
      <c r="AU13" s="59">
        <v>195</v>
      </c>
      <c r="AV13" s="68"/>
      <c r="AW13" s="68"/>
      <c r="AX13" s="68"/>
      <c r="AY13" s="68"/>
      <c r="AZ13" s="68"/>
      <c r="BA13" s="68"/>
      <c r="BB13" s="68"/>
      <c r="BC13" s="68">
        <v>240</v>
      </c>
      <c r="BD13" s="68">
        <v>244</v>
      </c>
      <c r="BE13" s="59"/>
      <c r="BF13" s="59">
        <v>320</v>
      </c>
      <c r="BG13" s="59"/>
      <c r="BH13" s="59"/>
      <c r="BI13" s="59">
        <v>213.40000000000003</v>
      </c>
      <c r="BJ13" s="59">
        <v>174.9</v>
      </c>
      <c r="BK13" s="59">
        <v>161.50000000000003</v>
      </c>
      <c r="BL13" s="59">
        <v>145.79999999999998</v>
      </c>
      <c r="BM13" s="59">
        <v>149.69999999999999</v>
      </c>
      <c r="BN13" s="59">
        <v>154.1</v>
      </c>
      <c r="BO13" s="59">
        <v>166.5</v>
      </c>
      <c r="BP13" s="59">
        <v>178</v>
      </c>
      <c r="BQ13" s="59">
        <v>191.29999999999998</v>
      </c>
      <c r="BR13" s="59">
        <v>204.1</v>
      </c>
      <c r="BS13" s="59">
        <v>223.79999999999995</v>
      </c>
      <c r="BT13" s="59">
        <v>228.5</v>
      </c>
      <c r="BU13" s="59">
        <v>243.33900000000003</v>
      </c>
      <c r="BV13" s="59">
        <v>239.31900000000002</v>
      </c>
      <c r="BW13" s="59">
        <v>255.55800000000002</v>
      </c>
      <c r="BX13" s="59">
        <v>274.23699999999997</v>
      </c>
      <c r="BY13" s="59">
        <v>262.65199999999999</v>
      </c>
      <c r="BZ13" s="59">
        <v>263.79999999999995</v>
      </c>
      <c r="CA13" s="59">
        <v>274.89999999999998</v>
      </c>
      <c r="CB13" s="59">
        <v>281.89999999999998</v>
      </c>
      <c r="CC13" s="59">
        <v>294.3</v>
      </c>
      <c r="CD13" s="59">
        <v>292.5</v>
      </c>
      <c r="CE13" s="59">
        <v>300.39999999999998</v>
      </c>
    </row>
    <row r="14" spans="1:84" s="30" customFormat="1" x14ac:dyDescent="0.55000000000000004">
      <c r="B14" s="87"/>
      <c r="C14" s="89" t="s">
        <v>76</v>
      </c>
      <c r="Q14" s="68">
        <v>74.3</v>
      </c>
      <c r="R14" s="174">
        <v>78.507000000000005</v>
      </c>
      <c r="S14" s="59">
        <v>87.881</v>
      </c>
      <c r="T14" s="59">
        <v>89.548000000000002</v>
      </c>
      <c r="U14" s="59">
        <v>96.888999999999996</v>
      </c>
      <c r="V14" s="59">
        <v>98.046999999999997</v>
      </c>
      <c r="W14" s="59">
        <v>92.221000000000004</v>
      </c>
      <c r="X14" s="59">
        <v>95.813999999999993</v>
      </c>
      <c r="Y14" s="59">
        <v>94.605999999999995</v>
      </c>
      <c r="Z14" s="59">
        <v>97.23</v>
      </c>
      <c r="AA14" s="59">
        <v>97.921999999999997</v>
      </c>
      <c r="AB14" s="59">
        <v>95.6</v>
      </c>
      <c r="AC14" s="59">
        <v>95.4</v>
      </c>
      <c r="AD14" s="59">
        <v>90.6</v>
      </c>
      <c r="AE14" s="59">
        <v>85.4</v>
      </c>
      <c r="AF14" s="59">
        <v>91.6</v>
      </c>
      <c r="AG14" s="59">
        <v>92.125</v>
      </c>
      <c r="AH14" s="59">
        <v>88.7</v>
      </c>
      <c r="AI14" s="59">
        <v>91.8</v>
      </c>
      <c r="AJ14" s="59">
        <v>105.8</v>
      </c>
      <c r="AK14" s="59">
        <v>110.994</v>
      </c>
      <c r="AL14" s="59">
        <v>126.136</v>
      </c>
      <c r="AM14" s="174">
        <v>131.62100000000001</v>
      </c>
      <c r="AN14" s="174">
        <v>146.321</v>
      </c>
      <c r="AO14" s="174">
        <v>181.221</v>
      </c>
      <c r="AP14" s="59"/>
      <c r="AQ14" s="59"/>
      <c r="AR14" s="59"/>
      <c r="AS14" s="59"/>
      <c r="AT14" s="59"/>
      <c r="AU14" s="59"/>
      <c r="AV14" s="59"/>
      <c r="AW14" s="59"/>
      <c r="AX14" s="59"/>
      <c r="AY14" s="59"/>
      <c r="AZ14" s="59"/>
      <c r="BA14" s="59"/>
      <c r="BB14" s="59"/>
      <c r="BC14" s="59"/>
      <c r="BD14" s="68"/>
      <c r="BE14" s="59"/>
      <c r="BF14" s="59"/>
      <c r="BG14" s="59"/>
      <c r="BH14" s="59"/>
      <c r="BI14" s="59"/>
      <c r="BJ14" s="59"/>
      <c r="BK14" s="59"/>
      <c r="BL14" s="59"/>
      <c r="BM14" s="59"/>
      <c r="BN14" s="59"/>
      <c r="BO14" s="59"/>
      <c r="BP14" s="59"/>
      <c r="BQ14" s="59"/>
      <c r="BR14" s="59"/>
      <c r="BS14" s="59"/>
      <c r="BT14" s="59"/>
      <c r="BU14" s="59"/>
      <c r="BV14" s="59"/>
      <c r="BW14" s="59"/>
      <c r="BX14" s="59"/>
      <c r="BY14" s="59"/>
      <c r="BZ14" s="59"/>
      <c r="CA14" s="59"/>
      <c r="CB14" s="59"/>
      <c r="CC14" s="59"/>
      <c r="CD14" s="59"/>
      <c r="CE14" s="59"/>
    </row>
    <row r="15" spans="1:84" s="30" customFormat="1" x14ac:dyDescent="0.55000000000000004">
      <c r="B15" s="87"/>
      <c r="C15" s="89" t="s">
        <v>77</v>
      </c>
      <c r="Q15" s="68">
        <v>1.8</v>
      </c>
      <c r="R15" s="174">
        <v>2</v>
      </c>
      <c r="S15" s="59">
        <v>2.15</v>
      </c>
      <c r="T15" s="59">
        <v>2.8</v>
      </c>
      <c r="U15" s="59">
        <v>3.226</v>
      </c>
      <c r="V15" s="59">
        <v>3.496</v>
      </c>
      <c r="W15" s="59">
        <v>3.4750000000000001</v>
      </c>
      <c r="X15" s="59">
        <v>3.617</v>
      </c>
      <c r="Y15" s="59">
        <v>3.9020000000000001</v>
      </c>
      <c r="Z15" s="59">
        <v>4.2889999999999997</v>
      </c>
      <c r="AA15" s="59">
        <v>4.2990000000000004</v>
      </c>
      <c r="AB15" s="59">
        <v>4.3899999999999997</v>
      </c>
      <c r="AC15" s="59">
        <v>4.07</v>
      </c>
      <c r="AD15" s="59">
        <v>3.6160000000000001</v>
      </c>
      <c r="AE15" s="59">
        <v>2.1</v>
      </c>
      <c r="AF15" s="59">
        <v>2.536</v>
      </c>
      <c r="AG15" s="59">
        <v>2.8239999999999998</v>
      </c>
      <c r="AH15" s="59">
        <v>3.0379999999999998</v>
      </c>
      <c r="AI15" s="59">
        <v>2.8919999999999999</v>
      </c>
      <c r="AJ15" s="59">
        <v>2.9940000000000002</v>
      </c>
      <c r="AK15" s="59">
        <v>2.8410000000000002</v>
      </c>
      <c r="AL15" s="59">
        <v>2.6789999999999998</v>
      </c>
      <c r="AM15" s="174">
        <v>2.6789999999999998</v>
      </c>
      <c r="AN15" s="174">
        <v>2.6789999999999998</v>
      </c>
      <c r="AO15" s="174">
        <v>2.6789999999999998</v>
      </c>
      <c r="AP15" s="59"/>
      <c r="AQ15" s="59"/>
      <c r="AR15" s="59"/>
      <c r="AS15" s="59"/>
      <c r="AT15" s="59"/>
      <c r="AU15" s="59"/>
      <c r="AV15" s="59"/>
      <c r="AW15" s="59"/>
      <c r="AX15" s="59"/>
      <c r="AY15" s="59"/>
      <c r="AZ15" s="59"/>
      <c r="BA15" s="59"/>
      <c r="BB15" s="59"/>
      <c r="BC15" s="59"/>
      <c r="BD15" s="68"/>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row>
    <row r="16" spans="1:84" x14ac:dyDescent="0.5">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155"/>
      <c r="BJ16" s="56"/>
      <c r="BK16" s="56"/>
      <c r="BL16" s="56"/>
      <c r="BM16" s="56"/>
      <c r="BN16" s="56"/>
      <c r="BO16" s="56"/>
      <c r="BP16" s="56"/>
      <c r="BQ16" s="56"/>
      <c r="BR16" s="56"/>
      <c r="BS16" s="56"/>
      <c r="BT16" s="155"/>
      <c r="BU16" s="56"/>
      <c r="BV16" s="56"/>
      <c r="BW16" s="56"/>
      <c r="BX16" s="56"/>
      <c r="BY16" s="56"/>
      <c r="BZ16" s="56"/>
      <c r="CA16" s="56"/>
      <c r="CB16" s="56"/>
      <c r="CC16" s="56"/>
      <c r="CD16" s="56"/>
      <c r="CE16" s="56"/>
    </row>
    <row r="17" spans="2:83" s="30" customFormat="1" ht="12.75" customHeight="1" x14ac:dyDescent="0.55000000000000004">
      <c r="B17" s="87" t="s">
        <v>309</v>
      </c>
      <c r="C17" s="87" t="s">
        <v>310</v>
      </c>
      <c r="D17" s="86"/>
      <c r="E17" s="86"/>
      <c r="F17" s="86"/>
      <c r="G17" s="86"/>
      <c r="H17" s="86"/>
      <c r="I17" s="86"/>
      <c r="J17" s="86"/>
      <c r="K17" s="86"/>
      <c r="L17" s="86"/>
      <c r="M17" s="86"/>
      <c r="N17" s="86"/>
      <c r="O17" s="86"/>
      <c r="P17" s="80"/>
      <c r="Q17" s="68"/>
      <c r="R17" s="68"/>
      <c r="S17" s="68"/>
      <c r="T17" s="68"/>
      <c r="U17" s="68"/>
      <c r="V17" s="68"/>
      <c r="W17" s="68"/>
      <c r="X17" s="68"/>
      <c r="Y17" s="68"/>
      <c r="Z17" s="68"/>
      <c r="AA17" s="68"/>
      <c r="AB17" s="68"/>
      <c r="AC17" s="68"/>
      <c r="AD17" s="68"/>
      <c r="AE17" s="68"/>
      <c r="AF17" s="68"/>
      <c r="AG17" s="68"/>
      <c r="AH17" s="68"/>
      <c r="AI17" s="68"/>
      <c r="AJ17" s="68"/>
      <c r="AK17" s="68"/>
      <c r="AL17" s="68"/>
      <c r="AM17" s="68"/>
      <c r="AN17" s="68"/>
      <c r="AO17" s="68"/>
      <c r="AP17" s="68"/>
      <c r="AQ17" s="68"/>
      <c r="AR17" s="68"/>
      <c r="AS17" s="68"/>
      <c r="AT17" s="59"/>
      <c r="AU17" s="59">
        <v>194</v>
      </c>
      <c r="AV17" s="59"/>
      <c r="AW17" s="59"/>
      <c r="AX17" s="59"/>
      <c r="AY17" s="59"/>
      <c r="AZ17" s="59"/>
      <c r="BA17" s="59"/>
      <c r="BB17" s="59"/>
      <c r="BC17" s="59">
        <v>240</v>
      </c>
      <c r="BD17" s="68"/>
      <c r="BE17" s="59"/>
      <c r="BF17" s="59">
        <v>320</v>
      </c>
      <c r="BG17" s="59"/>
      <c r="BH17" s="59">
        <f>BH18+BH24</f>
        <v>205.20000000000002</v>
      </c>
      <c r="BI17" s="68">
        <f>BI18+BI24+BI25</f>
        <v>214.3</v>
      </c>
      <c r="BJ17" s="68">
        <f>BJ18+BJ24+BJ25</f>
        <v>177.20000000000002</v>
      </c>
      <c r="BK17" s="68">
        <f>BK18+BK24+BK25</f>
        <v>156.70000000000002</v>
      </c>
      <c r="BL17" s="68">
        <f>BL18+BL24+BL25</f>
        <v>166.10000000000002</v>
      </c>
      <c r="BM17" s="59">
        <v>149.69999999999999</v>
      </c>
      <c r="BN17" s="59">
        <v>154.1</v>
      </c>
      <c r="BO17" s="59">
        <v>166.5</v>
      </c>
      <c r="BP17" s="59">
        <v>178</v>
      </c>
      <c r="BQ17" s="59">
        <v>191.29999999999998</v>
      </c>
      <c r="BR17" s="59">
        <v>204.1</v>
      </c>
      <c r="BS17" s="59">
        <v>223.79999999999995</v>
      </c>
      <c r="BT17" s="59">
        <v>228.5</v>
      </c>
      <c r="BU17" s="59">
        <v>243.33900000000003</v>
      </c>
      <c r="BV17" s="59">
        <v>239.31900000000002</v>
      </c>
      <c r="BW17" s="59">
        <v>255.55800000000002</v>
      </c>
      <c r="BX17" s="59">
        <v>274.23699999999997</v>
      </c>
      <c r="BY17" s="59">
        <v>259.61099999999999</v>
      </c>
      <c r="BZ17" s="59">
        <v>263.79999999999995</v>
      </c>
      <c r="CA17" s="59">
        <v>274.89999999999998</v>
      </c>
      <c r="CB17" s="59">
        <v>281.89999999999998</v>
      </c>
      <c r="CC17" s="59">
        <v>294.3</v>
      </c>
      <c r="CD17" s="59">
        <v>292.5</v>
      </c>
      <c r="CE17" s="59">
        <v>300.39999999999998</v>
      </c>
    </row>
    <row r="18" spans="2:83" s="30" customFormat="1" ht="12.75" customHeight="1" x14ac:dyDescent="0.55000000000000004">
      <c r="B18" s="87"/>
      <c r="C18" s="84" t="s">
        <v>311</v>
      </c>
      <c r="D18" s="86"/>
      <c r="E18" s="86"/>
      <c r="F18" s="86"/>
      <c r="G18" s="86"/>
      <c r="H18" s="86"/>
      <c r="I18" s="86"/>
      <c r="J18" s="86"/>
      <c r="K18" s="86"/>
      <c r="L18" s="86"/>
      <c r="M18" s="86"/>
      <c r="N18" s="86"/>
      <c r="O18" s="86"/>
      <c r="P18" s="80"/>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59"/>
      <c r="AU18" s="59">
        <v>140</v>
      </c>
      <c r="AV18" s="59"/>
      <c r="AW18" s="59"/>
      <c r="AX18" s="59"/>
      <c r="AY18" s="59"/>
      <c r="AZ18" s="59"/>
      <c r="BA18" s="59"/>
      <c r="BB18" s="59"/>
      <c r="BC18" s="59"/>
      <c r="BD18" s="68"/>
      <c r="BE18" s="59"/>
      <c r="BF18" s="59"/>
      <c r="BG18" s="59"/>
      <c r="BH18" s="59">
        <f>115.9+85.9</f>
        <v>201.8</v>
      </c>
      <c r="BI18" s="59">
        <v>214.3</v>
      </c>
      <c r="BJ18" s="59">
        <v>161</v>
      </c>
      <c r="BK18" s="59">
        <v>140.80000000000001</v>
      </c>
      <c r="BL18" s="59">
        <f>124.5+6.5</f>
        <v>131</v>
      </c>
      <c r="BM18" s="59">
        <v>134.1</v>
      </c>
      <c r="BN18" s="59">
        <v>136.6</v>
      </c>
      <c r="BO18" s="59">
        <v>142.5</v>
      </c>
      <c r="BP18" s="59">
        <v>145.1</v>
      </c>
      <c r="BQ18" s="59">
        <v>163.6</v>
      </c>
      <c r="BR18" s="59">
        <v>178.6</v>
      </c>
      <c r="BS18" s="59">
        <v>197.99999999999997</v>
      </c>
      <c r="BT18" s="59">
        <v>196.1</v>
      </c>
      <c r="BU18" s="59">
        <v>215.19400000000002</v>
      </c>
      <c r="BV18" s="59">
        <v>220.71800000000002</v>
      </c>
      <c r="BW18" s="59">
        <v>224.60000000000002</v>
      </c>
      <c r="BX18" s="59">
        <v>235.24499999999998</v>
      </c>
      <c r="BY18" s="59">
        <v>210</v>
      </c>
      <c r="BZ18" s="59">
        <v>216.89999999999998</v>
      </c>
      <c r="CA18" s="59">
        <v>226.39999999999998</v>
      </c>
      <c r="CB18" s="59">
        <v>232.7</v>
      </c>
      <c r="CC18" s="59">
        <v>239.4</v>
      </c>
      <c r="CD18" s="59">
        <v>236</v>
      </c>
      <c r="CE18" s="59">
        <v>243.1</v>
      </c>
    </row>
    <row r="19" spans="2:83" s="30" customFormat="1" ht="12.75" customHeight="1" x14ac:dyDescent="0.55000000000000004">
      <c r="B19" s="87"/>
      <c r="C19" s="89" t="s">
        <v>312</v>
      </c>
      <c r="D19" s="86"/>
      <c r="E19" s="86"/>
      <c r="F19" s="86"/>
      <c r="G19" s="86"/>
      <c r="H19" s="86"/>
      <c r="I19" s="86"/>
      <c r="J19" s="86"/>
      <c r="K19" s="86"/>
      <c r="L19" s="86"/>
      <c r="M19" s="86"/>
      <c r="N19" s="86"/>
      <c r="O19" s="86"/>
      <c r="P19" s="80"/>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68"/>
      <c r="AS19" s="68"/>
      <c r="AT19" s="59"/>
      <c r="AU19" s="59">
        <v>38</v>
      </c>
      <c r="AV19" s="59"/>
      <c r="AW19" s="59"/>
      <c r="AX19" s="59"/>
      <c r="AY19" s="59"/>
      <c r="AZ19" s="59"/>
      <c r="BA19" s="59"/>
      <c r="BB19" s="59"/>
      <c r="BC19" s="59">
        <v>89.3</v>
      </c>
      <c r="BD19" s="68"/>
      <c r="BE19" s="59"/>
      <c r="BF19" s="59"/>
      <c r="BG19" s="59"/>
      <c r="BH19" s="59"/>
      <c r="BI19" s="59"/>
      <c r="BJ19" s="59"/>
      <c r="BK19" s="59"/>
      <c r="BL19" s="59"/>
      <c r="BM19" s="59">
        <v>11.2</v>
      </c>
      <c r="BN19" s="59">
        <v>10.199999999999999</v>
      </c>
      <c r="BO19" s="59">
        <v>9.5</v>
      </c>
      <c r="BP19" s="59">
        <v>10.3</v>
      </c>
      <c r="BQ19" s="59">
        <v>15.3</v>
      </c>
      <c r="BR19" s="59">
        <v>18.7</v>
      </c>
      <c r="BS19" s="59">
        <v>20.9</v>
      </c>
      <c r="BT19" s="59">
        <v>33.6</v>
      </c>
      <c r="BU19" s="59">
        <v>40.228000000000002</v>
      </c>
      <c r="BV19" s="59">
        <v>43.64</v>
      </c>
      <c r="BW19" s="59">
        <v>39.048000000000002</v>
      </c>
      <c r="BX19" s="59">
        <v>41.045000000000002</v>
      </c>
      <c r="BY19" s="59">
        <v>13.782999999999999</v>
      </c>
      <c r="BZ19" s="59">
        <v>11.6</v>
      </c>
      <c r="CA19" s="59">
        <v>10.7</v>
      </c>
      <c r="CB19" s="59">
        <v>24.6</v>
      </c>
      <c r="CC19" s="59">
        <v>23.4</v>
      </c>
      <c r="CD19" s="59">
        <v>20.3</v>
      </c>
      <c r="CE19" s="59">
        <v>22.5</v>
      </c>
    </row>
    <row r="20" spans="2:83" s="30" customFormat="1" ht="12.75" customHeight="1" x14ac:dyDescent="0.55000000000000004">
      <c r="B20" s="87"/>
      <c r="C20" s="89" t="s">
        <v>313</v>
      </c>
      <c r="D20" s="86"/>
      <c r="E20" s="86"/>
      <c r="F20" s="86"/>
      <c r="G20" s="86"/>
      <c r="H20" s="86"/>
      <c r="I20" s="86"/>
      <c r="J20" s="86"/>
      <c r="K20" s="86"/>
      <c r="L20" s="86"/>
      <c r="M20" s="86"/>
      <c r="N20" s="86"/>
      <c r="O20" s="86"/>
      <c r="P20" s="80"/>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59"/>
      <c r="AU20" s="59">
        <v>52</v>
      </c>
      <c r="AV20" s="59"/>
      <c r="AW20" s="59"/>
      <c r="AX20" s="59"/>
      <c r="AY20" s="59"/>
      <c r="AZ20" s="59"/>
      <c r="BA20" s="59"/>
      <c r="BB20" s="59"/>
      <c r="BC20" s="59">
        <v>86</v>
      </c>
      <c r="BD20" s="68"/>
      <c r="BE20" s="59"/>
      <c r="BF20" s="59"/>
      <c r="BG20" s="59"/>
      <c r="BH20" s="59">
        <v>85.9</v>
      </c>
      <c r="BI20" s="59">
        <v>116.1</v>
      </c>
      <c r="BJ20" s="59">
        <v>99.2</v>
      </c>
      <c r="BK20" s="59">
        <v>92.6</v>
      </c>
      <c r="BL20" s="59">
        <v>90.1</v>
      </c>
      <c r="BM20" s="59">
        <v>91.4</v>
      </c>
      <c r="BN20" s="59">
        <v>97.3</v>
      </c>
      <c r="BO20" s="59">
        <v>104.3</v>
      </c>
      <c r="BP20" s="59">
        <v>106.8</v>
      </c>
      <c r="BQ20" s="59">
        <v>118.6</v>
      </c>
      <c r="BR20" s="59">
        <v>127.8</v>
      </c>
      <c r="BS20" s="59">
        <v>137.1</v>
      </c>
      <c r="BT20" s="59">
        <v>129.19999999999999</v>
      </c>
      <c r="BU20" s="59">
        <v>139.958</v>
      </c>
      <c r="BV20" s="59">
        <v>139.809</v>
      </c>
      <c r="BW20" s="59">
        <v>148.67000000000002</v>
      </c>
      <c r="BX20" s="59">
        <v>149.78</v>
      </c>
      <c r="BY20" s="59">
        <v>149.12200000000001</v>
      </c>
      <c r="BZ20" s="59">
        <v>149.80000000000001</v>
      </c>
      <c r="CA20" s="59">
        <v>156.4</v>
      </c>
      <c r="CB20" s="59">
        <v>156.9</v>
      </c>
      <c r="CC20" s="59">
        <v>160.6</v>
      </c>
      <c r="CD20" s="59">
        <v>160.80000000000001</v>
      </c>
      <c r="CE20" s="59">
        <v>165</v>
      </c>
    </row>
    <row r="21" spans="2:83" s="30" customFormat="1" ht="12.75" customHeight="1" x14ac:dyDescent="0.55000000000000004">
      <c r="B21" s="87"/>
      <c r="C21" s="89" t="s">
        <v>314</v>
      </c>
      <c r="D21" s="86"/>
      <c r="E21" s="86"/>
      <c r="F21" s="86"/>
      <c r="G21" s="86"/>
      <c r="H21" s="86"/>
      <c r="I21" s="86"/>
      <c r="J21" s="86"/>
      <c r="K21" s="86"/>
      <c r="L21" s="86"/>
      <c r="M21" s="86"/>
      <c r="N21" s="86"/>
      <c r="O21" s="86"/>
      <c r="P21" s="80"/>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59"/>
      <c r="AU21" s="59">
        <v>20</v>
      </c>
      <c r="AV21" s="59"/>
      <c r="AW21" s="59"/>
      <c r="AX21" s="59"/>
      <c r="AY21" s="59"/>
      <c r="AZ21" s="59"/>
      <c r="BA21" s="59"/>
      <c r="BB21" s="59"/>
      <c r="BC21" s="59">
        <v>12.6</v>
      </c>
      <c r="BD21" s="68"/>
      <c r="BE21" s="59"/>
      <c r="BF21" s="59"/>
      <c r="BG21" s="59"/>
      <c r="BH21" s="59"/>
      <c r="BI21" s="59"/>
      <c r="BJ21" s="59"/>
      <c r="BK21" s="59"/>
      <c r="BL21" s="59"/>
      <c r="BM21" s="59">
        <v>18.7</v>
      </c>
      <c r="BN21" s="59">
        <v>18.100000000000001</v>
      </c>
      <c r="BO21" s="59">
        <v>18.2</v>
      </c>
      <c r="BP21" s="59">
        <v>18</v>
      </c>
      <c r="BQ21" s="59">
        <v>17.600000000000001</v>
      </c>
      <c r="BR21" s="59">
        <v>17.399999999999999</v>
      </c>
      <c r="BS21" s="59">
        <v>14.4</v>
      </c>
      <c r="BT21" s="59">
        <v>16.3</v>
      </c>
      <c r="BU21" s="59">
        <v>18.407</v>
      </c>
      <c r="BV21" s="59">
        <v>21.88</v>
      </c>
      <c r="BW21" s="59">
        <v>25.375</v>
      </c>
      <c r="BX21" s="59">
        <v>29.923999999999999</v>
      </c>
      <c r="BY21" s="59">
        <v>29.35</v>
      </c>
      <c r="BZ21" s="59">
        <v>32.299999999999997</v>
      </c>
      <c r="CA21" s="59">
        <v>35.6</v>
      </c>
      <c r="CB21" s="59">
        <v>42.2</v>
      </c>
      <c r="CC21" s="59">
        <v>45.3</v>
      </c>
      <c r="CD21" s="59">
        <v>44.7</v>
      </c>
      <c r="CE21" s="59">
        <v>49.2</v>
      </c>
    </row>
    <row r="22" spans="2:83" s="30" customFormat="1" ht="12.75" customHeight="1" x14ac:dyDescent="0.55000000000000004">
      <c r="B22" s="87"/>
      <c r="C22" s="89" t="s">
        <v>315</v>
      </c>
      <c r="D22" s="86"/>
      <c r="E22" s="86"/>
      <c r="F22" s="86"/>
      <c r="G22" s="86"/>
      <c r="H22" s="86"/>
      <c r="I22" s="86"/>
      <c r="J22" s="86"/>
      <c r="K22" s="86"/>
      <c r="L22" s="86"/>
      <c r="M22" s="86"/>
      <c r="N22" s="86"/>
      <c r="O22" s="86"/>
      <c r="P22" s="80"/>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c r="AR22" s="68"/>
      <c r="AS22" s="68"/>
      <c r="AT22" s="59"/>
      <c r="AU22" s="59">
        <v>30</v>
      </c>
      <c r="AV22" s="59"/>
      <c r="AW22" s="59"/>
      <c r="AX22" s="59"/>
      <c r="AY22" s="59"/>
      <c r="AZ22" s="59"/>
      <c r="BA22" s="59"/>
      <c r="BB22" s="59"/>
      <c r="BC22" s="59"/>
      <c r="BD22" s="68"/>
      <c r="BE22" s="59"/>
      <c r="BF22" s="59"/>
      <c r="BG22" s="59"/>
      <c r="BH22" s="59"/>
      <c r="BI22" s="59"/>
      <c r="BJ22" s="59"/>
      <c r="BK22" s="59"/>
      <c r="BL22" s="59"/>
      <c r="BM22" s="59">
        <v>7.6</v>
      </c>
      <c r="BN22" s="59">
        <v>5.9</v>
      </c>
      <c r="BO22" s="59">
        <v>5.4</v>
      </c>
      <c r="BP22" s="59">
        <v>4.8</v>
      </c>
      <c r="BQ22" s="59">
        <v>6.9</v>
      </c>
      <c r="BR22" s="59">
        <v>9.5</v>
      </c>
      <c r="BS22" s="59">
        <v>7.7</v>
      </c>
      <c r="BT22" s="59">
        <v>8.6</v>
      </c>
      <c r="BU22" s="59">
        <v>10.516</v>
      </c>
      <c r="BV22" s="59">
        <v>9.58</v>
      </c>
      <c r="BW22" s="59">
        <v>5.76</v>
      </c>
      <c r="BX22" s="59">
        <v>8.7710000000000008</v>
      </c>
      <c r="BY22" s="59">
        <v>16.899999999999999</v>
      </c>
      <c r="BZ22" s="59">
        <v>14.6</v>
      </c>
      <c r="CA22" s="59">
        <v>12.9</v>
      </c>
      <c r="CB22" s="59"/>
      <c r="CC22" s="59"/>
      <c r="CD22" s="59"/>
      <c r="CE22" s="59"/>
    </row>
    <row r="23" spans="2:83" s="30" customFormat="1" ht="12.75" customHeight="1" x14ac:dyDescent="0.55000000000000004">
      <c r="B23" s="87"/>
      <c r="C23" s="89" t="s">
        <v>316</v>
      </c>
      <c r="D23" s="86"/>
      <c r="E23" s="86"/>
      <c r="F23" s="86"/>
      <c r="G23" s="86"/>
      <c r="H23" s="86"/>
      <c r="I23" s="86"/>
      <c r="J23" s="86"/>
      <c r="K23" s="86"/>
      <c r="L23" s="86"/>
      <c r="M23" s="86"/>
      <c r="N23" s="86"/>
      <c r="O23" s="86"/>
      <c r="P23" s="80"/>
      <c r="Q23" s="68"/>
      <c r="R23" s="68"/>
      <c r="S23" s="68"/>
      <c r="T23" s="68"/>
      <c r="U23" s="68"/>
      <c r="V23" s="68"/>
      <c r="W23" s="68"/>
      <c r="X23" s="68"/>
      <c r="Y23" s="68"/>
      <c r="Z23" s="68"/>
      <c r="AA23" s="68"/>
      <c r="AB23" s="68"/>
      <c r="AC23" s="68"/>
      <c r="AD23" s="68"/>
      <c r="AE23" s="68"/>
      <c r="AF23" s="68"/>
      <c r="AG23" s="68"/>
      <c r="AH23" s="68"/>
      <c r="AI23" s="68"/>
      <c r="AJ23" s="68"/>
      <c r="AK23" s="68"/>
      <c r="AL23" s="68"/>
      <c r="AM23" s="68"/>
      <c r="AN23" s="68"/>
      <c r="AO23" s="68"/>
      <c r="AP23" s="68"/>
      <c r="AQ23" s="68"/>
      <c r="AR23" s="68"/>
      <c r="AS23" s="68"/>
      <c r="AT23" s="59"/>
      <c r="AU23" s="59"/>
      <c r="AV23" s="59"/>
      <c r="AW23" s="59"/>
      <c r="AX23" s="59"/>
      <c r="AY23" s="59"/>
      <c r="AZ23" s="59"/>
      <c r="BA23" s="59"/>
      <c r="BB23" s="59"/>
      <c r="BC23" s="59"/>
      <c r="BD23" s="68"/>
      <c r="BE23" s="59"/>
      <c r="BF23" s="59"/>
      <c r="BG23" s="59"/>
      <c r="BH23" s="59"/>
      <c r="BI23" s="59"/>
      <c r="BJ23" s="59"/>
      <c r="BK23" s="59"/>
      <c r="BL23" s="59"/>
      <c r="BM23" s="59"/>
      <c r="BN23" s="59"/>
      <c r="BO23" s="59"/>
      <c r="BP23" s="59"/>
      <c r="BQ23" s="59"/>
      <c r="BR23" s="59"/>
      <c r="BS23" s="59">
        <v>12.7</v>
      </c>
      <c r="BT23" s="59">
        <v>8.4</v>
      </c>
      <c r="BU23" s="59">
        <v>0.71899999999999997</v>
      </c>
      <c r="BV23" s="59">
        <v>0.32</v>
      </c>
      <c r="BW23" s="59">
        <v>0.125</v>
      </c>
      <c r="BX23" s="59">
        <v>6.5000000000000002E-2</v>
      </c>
      <c r="BY23" s="59">
        <v>0.88600000000000001</v>
      </c>
      <c r="BZ23" s="59">
        <v>2.2000000000000002</v>
      </c>
      <c r="CA23" s="59">
        <v>4.0999999999999996</v>
      </c>
      <c r="CB23" s="59"/>
      <c r="CC23" s="59"/>
      <c r="CD23" s="59"/>
      <c r="CE23" s="59"/>
    </row>
    <row r="24" spans="2:83" s="30" customFormat="1" ht="12.75" customHeight="1" x14ac:dyDescent="0.55000000000000004">
      <c r="B24" s="87"/>
      <c r="C24" s="84" t="s">
        <v>317</v>
      </c>
      <c r="D24" s="86"/>
      <c r="E24" s="86"/>
      <c r="F24" s="86"/>
      <c r="G24" s="86"/>
      <c r="H24" s="86"/>
      <c r="I24" s="86"/>
      <c r="J24" s="86"/>
      <c r="K24" s="86"/>
      <c r="L24" s="86"/>
      <c r="M24" s="86"/>
      <c r="N24" s="86"/>
      <c r="O24" s="86"/>
      <c r="P24" s="80"/>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59"/>
      <c r="AU24" s="59"/>
      <c r="AV24" s="59"/>
      <c r="AW24" s="59"/>
      <c r="AX24" s="59"/>
      <c r="AY24" s="59"/>
      <c r="AZ24" s="59"/>
      <c r="BA24" s="59"/>
      <c r="BB24" s="59"/>
      <c r="BC24" s="59"/>
      <c r="BD24" s="68"/>
      <c r="BE24" s="59"/>
      <c r="BF24" s="59"/>
      <c r="BG24" s="59"/>
      <c r="BH24" s="59">
        <v>3.4</v>
      </c>
      <c r="BI24" s="59"/>
      <c r="BJ24" s="59">
        <v>4.4000000000000004</v>
      </c>
      <c r="BK24" s="59">
        <v>5.0999999999999996</v>
      </c>
      <c r="BL24" s="59">
        <v>5.3</v>
      </c>
      <c r="BM24" s="59">
        <v>5.2</v>
      </c>
      <c r="BN24" s="59">
        <v>5.0999999999999996</v>
      </c>
      <c r="BO24" s="59">
        <v>5.0999999999999996</v>
      </c>
      <c r="BP24" s="59">
        <v>5.2</v>
      </c>
      <c r="BQ24" s="59">
        <v>5.2</v>
      </c>
      <c r="BR24" s="59">
        <v>5.2</v>
      </c>
      <c r="BS24" s="59">
        <v>5.2</v>
      </c>
      <c r="BT24" s="59">
        <v>5.3</v>
      </c>
      <c r="BU24" s="59">
        <v>5.3660000000000005</v>
      </c>
      <c r="BV24" s="59">
        <v>5.4889999999999999</v>
      </c>
      <c r="BW24" s="59">
        <v>5.6219999999999999</v>
      </c>
      <c r="BX24" s="59">
        <v>5.66</v>
      </c>
      <c r="BY24" s="59">
        <v>5.7910000000000004</v>
      </c>
      <c r="BZ24" s="59">
        <v>6.4</v>
      </c>
      <c r="CA24" s="59">
        <v>6.7</v>
      </c>
      <c r="CB24" s="59">
        <v>9</v>
      </c>
      <c r="CC24" s="59">
        <v>10.1</v>
      </c>
      <c r="CD24" s="59">
        <v>10.199999999999999</v>
      </c>
      <c r="CE24" s="59">
        <v>6.4</v>
      </c>
    </row>
    <row r="25" spans="2:83" s="30" customFormat="1" ht="12.75" customHeight="1" x14ac:dyDescent="0.55000000000000004">
      <c r="B25" s="87"/>
      <c r="C25" s="84" t="s">
        <v>318</v>
      </c>
      <c r="D25" s="86"/>
      <c r="E25" s="86"/>
      <c r="F25" s="86"/>
      <c r="G25" s="86"/>
      <c r="H25" s="86"/>
      <c r="I25" s="86"/>
      <c r="J25" s="86"/>
      <c r="K25" s="86"/>
      <c r="L25" s="86"/>
      <c r="M25" s="86"/>
      <c r="N25" s="86"/>
      <c r="O25" s="86"/>
      <c r="P25" s="80"/>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59"/>
      <c r="AU25" s="59">
        <v>54</v>
      </c>
      <c r="AV25" s="59"/>
      <c r="AW25" s="59"/>
      <c r="AX25" s="59"/>
      <c r="AY25" s="59"/>
      <c r="AZ25" s="59"/>
      <c r="BA25" s="59"/>
      <c r="BB25" s="59"/>
      <c r="BC25" s="59">
        <v>38</v>
      </c>
      <c r="BD25" s="68"/>
      <c r="BE25" s="59"/>
      <c r="BF25" s="59"/>
      <c r="BG25" s="59"/>
      <c r="BH25" s="59"/>
      <c r="BI25" s="59"/>
      <c r="BJ25" s="59">
        <v>11.8</v>
      </c>
      <c r="BK25" s="59">
        <v>10.8</v>
      </c>
      <c r="BL25" s="59">
        <f>22.7+7.1</f>
        <v>29.799999999999997</v>
      </c>
      <c r="BM25" s="59">
        <v>15.6</v>
      </c>
      <c r="BN25" s="59">
        <v>17.5</v>
      </c>
      <c r="BO25" s="59">
        <v>24</v>
      </c>
      <c r="BP25" s="59">
        <v>32.9</v>
      </c>
      <c r="BQ25" s="59">
        <v>27.7</v>
      </c>
      <c r="BR25" s="59">
        <v>25.5</v>
      </c>
      <c r="BS25" s="59">
        <v>25.799999999999997</v>
      </c>
      <c r="BT25" s="59">
        <v>27.099999999999998</v>
      </c>
      <c r="BU25" s="59">
        <v>28.145</v>
      </c>
      <c r="BV25" s="59">
        <v>18.601000000000003</v>
      </c>
      <c r="BW25" s="59">
        <v>30.958000000000002</v>
      </c>
      <c r="BX25" s="59">
        <v>38.991999999999997</v>
      </c>
      <c r="BY25" s="59">
        <v>43.82</v>
      </c>
      <c r="BZ25" s="59">
        <v>46.900000000000006</v>
      </c>
      <c r="CA25" s="59">
        <v>48.5</v>
      </c>
      <c r="CB25" s="59">
        <v>49.2</v>
      </c>
      <c r="CC25" s="59">
        <v>54.9</v>
      </c>
      <c r="CD25" s="59">
        <v>56.5</v>
      </c>
      <c r="CE25" s="59">
        <v>57.3</v>
      </c>
    </row>
    <row r="26" spans="2:83" s="30" customFormat="1" ht="12.75" customHeight="1" x14ac:dyDescent="0.55000000000000004">
      <c r="B26" s="87"/>
      <c r="C26" s="89" t="s">
        <v>319</v>
      </c>
      <c r="D26" s="86"/>
      <c r="E26" s="86"/>
      <c r="F26" s="86"/>
      <c r="G26" s="86"/>
      <c r="H26" s="86"/>
      <c r="I26" s="86"/>
      <c r="J26" s="86"/>
      <c r="K26" s="86"/>
      <c r="L26" s="86"/>
      <c r="M26" s="86"/>
      <c r="N26" s="86"/>
      <c r="O26" s="86"/>
      <c r="P26" s="80"/>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59"/>
      <c r="AU26" s="59">
        <v>26</v>
      </c>
      <c r="AV26" s="59"/>
      <c r="AW26" s="59"/>
      <c r="AX26" s="59"/>
      <c r="AY26" s="59"/>
      <c r="AZ26" s="59"/>
      <c r="BA26" s="59"/>
      <c r="BB26" s="59"/>
      <c r="BC26" s="59"/>
      <c r="BD26" s="68"/>
      <c r="BE26" s="59"/>
      <c r="BF26" s="59"/>
      <c r="BG26" s="59"/>
      <c r="BH26" s="59"/>
      <c r="BI26" s="59"/>
      <c r="BJ26" s="59">
        <v>5.9</v>
      </c>
      <c r="BK26" s="59">
        <v>8.5</v>
      </c>
      <c r="BL26" s="59"/>
      <c r="BM26" s="59">
        <v>13.2</v>
      </c>
      <c r="BN26" s="59">
        <v>14.4</v>
      </c>
      <c r="BO26" s="59">
        <v>18.7</v>
      </c>
      <c r="BP26" s="59">
        <v>25.3</v>
      </c>
      <c r="BQ26" s="59">
        <v>22.4</v>
      </c>
      <c r="BR26" s="59">
        <v>21.9</v>
      </c>
      <c r="BS26" s="59">
        <v>19.399999999999999</v>
      </c>
      <c r="BT26" s="59">
        <v>21.3</v>
      </c>
      <c r="BU26" s="59">
        <v>23.798999999999999</v>
      </c>
      <c r="BV26" s="59">
        <v>15.746</v>
      </c>
      <c r="BW26" s="59">
        <v>23.553000000000001</v>
      </c>
      <c r="BX26" s="59">
        <v>28.783000000000001</v>
      </c>
      <c r="BY26" s="59">
        <v>31.533999999999999</v>
      </c>
      <c r="BZ26" s="59">
        <v>33.5</v>
      </c>
      <c r="CA26" s="59">
        <v>31.5</v>
      </c>
      <c r="CB26" s="59"/>
      <c r="CC26" s="59"/>
      <c r="CD26" s="59"/>
      <c r="CE26" s="59"/>
    </row>
    <row r="27" spans="2:83" s="30" customFormat="1" ht="12.75" customHeight="1" x14ac:dyDescent="0.55000000000000004">
      <c r="B27" s="87"/>
      <c r="C27" s="89" t="s">
        <v>315</v>
      </c>
      <c r="D27" s="86"/>
      <c r="E27" s="86"/>
      <c r="F27" s="86"/>
      <c r="G27" s="86"/>
      <c r="H27" s="86"/>
      <c r="I27" s="86"/>
      <c r="J27" s="86"/>
      <c r="K27" s="86"/>
      <c r="L27" s="86"/>
      <c r="M27" s="86"/>
      <c r="N27" s="86"/>
      <c r="O27" s="86"/>
      <c r="P27" s="80"/>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59"/>
      <c r="AU27" s="59">
        <v>28</v>
      </c>
      <c r="AV27" s="59"/>
      <c r="AW27" s="59"/>
      <c r="AX27" s="59"/>
      <c r="AY27" s="59"/>
      <c r="AZ27" s="59"/>
      <c r="BA27" s="59"/>
      <c r="BB27" s="59"/>
      <c r="BC27" s="59"/>
      <c r="BD27" s="68"/>
      <c r="BE27" s="59"/>
      <c r="BF27" s="59"/>
      <c r="BG27" s="59"/>
      <c r="BH27" s="59"/>
      <c r="BI27" s="59"/>
      <c r="BJ27" s="59">
        <v>6.1</v>
      </c>
      <c r="BK27" s="59">
        <v>2.2999999999999998</v>
      </c>
      <c r="BL27" s="59"/>
      <c r="BM27" s="59">
        <v>2.4</v>
      </c>
      <c r="BN27" s="59">
        <v>3.1</v>
      </c>
      <c r="BO27" s="59">
        <v>5.3</v>
      </c>
      <c r="BP27" s="59">
        <v>7.6</v>
      </c>
      <c r="BQ27" s="59">
        <v>5.3</v>
      </c>
      <c r="BR27" s="59">
        <v>3.6</v>
      </c>
      <c r="BS27" s="59">
        <v>3</v>
      </c>
      <c r="BT27" s="59">
        <v>3.4</v>
      </c>
      <c r="BU27" s="59">
        <v>3.831</v>
      </c>
      <c r="BV27" s="59">
        <v>2.645</v>
      </c>
      <c r="BW27" s="59">
        <v>7.2969999999999997</v>
      </c>
      <c r="BX27" s="59">
        <v>10.184000000000001</v>
      </c>
      <c r="BY27" s="59">
        <v>11.975</v>
      </c>
      <c r="BZ27" s="59">
        <v>13.2</v>
      </c>
      <c r="CA27" s="59">
        <v>13.6</v>
      </c>
      <c r="CB27" s="59"/>
      <c r="CC27" s="59"/>
      <c r="CD27" s="59"/>
      <c r="CE27" s="59"/>
    </row>
    <row r="28" spans="2:83" s="30" customFormat="1" ht="12.75" customHeight="1" x14ac:dyDescent="0.55000000000000004">
      <c r="B28" s="87"/>
      <c r="C28" s="84" t="s">
        <v>316</v>
      </c>
      <c r="D28" s="86"/>
      <c r="E28" s="86"/>
      <c r="F28" s="86"/>
      <c r="G28" s="86"/>
      <c r="H28" s="86"/>
      <c r="I28" s="86"/>
      <c r="J28" s="86"/>
      <c r="K28" s="86"/>
      <c r="L28" s="86"/>
      <c r="M28" s="86"/>
      <c r="N28" s="86"/>
      <c r="O28" s="86"/>
      <c r="P28" s="80"/>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59"/>
      <c r="AU28" s="59"/>
      <c r="AV28" s="59"/>
      <c r="AW28" s="59"/>
      <c r="AX28" s="59"/>
      <c r="AY28" s="59"/>
      <c r="AZ28" s="59"/>
      <c r="BA28" s="59"/>
      <c r="BB28" s="59"/>
      <c r="BC28" s="59"/>
      <c r="BD28" s="68"/>
      <c r="BE28" s="59"/>
      <c r="BF28" s="59"/>
      <c r="BG28" s="59"/>
      <c r="BH28" s="59"/>
      <c r="BI28" s="59"/>
      <c r="BJ28" s="59"/>
      <c r="BK28" s="59"/>
      <c r="BL28" s="59"/>
      <c r="BM28" s="59"/>
      <c r="BN28" s="59"/>
      <c r="BO28" s="59"/>
      <c r="BP28" s="59"/>
      <c r="BQ28" s="59"/>
      <c r="BR28" s="59"/>
      <c r="BS28" s="59">
        <v>3.4</v>
      </c>
      <c r="BT28" s="59">
        <v>2.4</v>
      </c>
      <c r="BU28" s="59">
        <v>0.51500000000000001</v>
      </c>
      <c r="BV28" s="59">
        <v>0.21</v>
      </c>
      <c r="BW28" s="59">
        <v>0.108</v>
      </c>
      <c r="BX28" s="59">
        <v>2.5000000000000001E-2</v>
      </c>
      <c r="BY28" s="59">
        <v>0.311</v>
      </c>
      <c r="BZ28" s="59">
        <v>0.2</v>
      </c>
      <c r="CA28" s="59">
        <v>3.4</v>
      </c>
      <c r="CB28" s="59"/>
      <c r="CC28" s="59"/>
      <c r="CD28" s="59"/>
      <c r="CE28" s="59"/>
    </row>
    <row r="29" spans="2:83" x14ac:dyDescent="0.5">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row>
    <row r="30" spans="2:83" s="30" customFormat="1" x14ac:dyDescent="0.55000000000000004">
      <c r="B30" s="87" t="s">
        <v>320</v>
      </c>
      <c r="C30" s="87" t="s">
        <v>321</v>
      </c>
      <c r="P30" s="66"/>
      <c r="Q30" s="68"/>
      <c r="R30" s="68"/>
      <c r="S30" s="68"/>
      <c r="T30" s="68"/>
      <c r="U30" s="68"/>
      <c r="V30" s="59"/>
      <c r="W30" s="59"/>
      <c r="X30" s="59"/>
      <c r="Y30" s="59"/>
      <c r="Z30" s="59"/>
      <c r="AA30" s="59"/>
      <c r="AB30" s="59"/>
      <c r="AC30" s="59"/>
      <c r="AD30" s="59"/>
      <c r="AE30" s="59"/>
      <c r="AF30" s="59"/>
      <c r="AG30" s="59"/>
      <c r="AH30" s="59"/>
      <c r="AI30" s="59"/>
      <c r="AJ30" s="59"/>
      <c r="AK30" s="59"/>
      <c r="AL30" s="68"/>
      <c r="AM30" s="68"/>
      <c r="AN30" s="68"/>
      <c r="AO30" s="68"/>
      <c r="AP30" s="68"/>
      <c r="AQ30" s="59"/>
      <c r="AR30" s="59"/>
      <c r="AS30" s="59"/>
      <c r="AT30" s="59"/>
      <c r="AU30" s="59"/>
      <c r="AV30" s="59"/>
      <c r="AW30" s="59"/>
      <c r="AX30" s="59"/>
      <c r="AY30" s="59"/>
      <c r="AZ30" s="59"/>
      <c r="BA30" s="59"/>
      <c r="BB30" s="59"/>
      <c r="BC30" s="59"/>
      <c r="BD30" s="59"/>
      <c r="BE30" s="59"/>
      <c r="BF30" s="59"/>
      <c r="BG30" s="59"/>
      <c r="BH30" s="59">
        <v>341</v>
      </c>
      <c r="BI30" s="59"/>
      <c r="BJ30" s="59"/>
      <c r="BK30" s="59"/>
      <c r="BL30" s="59"/>
      <c r="BM30" s="59"/>
      <c r="BN30" s="59"/>
      <c r="BO30" s="59"/>
      <c r="BP30" s="59"/>
      <c r="BQ30" s="59"/>
      <c r="BR30" s="59"/>
      <c r="BS30" s="59"/>
      <c r="BT30" s="59"/>
      <c r="BU30" s="59"/>
      <c r="BV30" s="59"/>
      <c r="BW30" s="59"/>
      <c r="BX30" s="59"/>
      <c r="BY30" s="59">
        <v>323</v>
      </c>
      <c r="BZ30" s="59"/>
      <c r="CA30" s="59"/>
      <c r="CB30" s="59"/>
      <c r="CC30" s="59"/>
      <c r="CD30" s="59"/>
      <c r="CE30" s="59"/>
    </row>
    <row r="31" spans="2:83" s="30" customFormat="1" x14ac:dyDescent="0.55000000000000004">
      <c r="B31" s="87"/>
      <c r="C31" s="84" t="s">
        <v>322</v>
      </c>
      <c r="P31" s="66"/>
      <c r="Q31" s="68"/>
      <c r="R31" s="68"/>
      <c r="S31" s="68"/>
      <c r="T31" s="68"/>
      <c r="U31" s="68"/>
      <c r="V31" s="59"/>
      <c r="W31" s="59"/>
      <c r="X31" s="59"/>
      <c r="Y31" s="59"/>
      <c r="Z31" s="59"/>
      <c r="AA31" s="59"/>
      <c r="AB31" s="59"/>
      <c r="AC31" s="59"/>
      <c r="AD31" s="59"/>
      <c r="AE31" s="59"/>
      <c r="AF31" s="59"/>
      <c r="AG31" s="59"/>
      <c r="AH31" s="59"/>
      <c r="AI31" s="59"/>
      <c r="AJ31" s="59"/>
      <c r="AK31" s="59"/>
      <c r="AL31" s="68"/>
      <c r="AM31" s="68"/>
      <c r="AN31" s="68"/>
      <c r="AO31" s="68"/>
      <c r="AP31" s="68"/>
      <c r="AQ31" s="59"/>
      <c r="AR31" s="59"/>
      <c r="AS31" s="59"/>
      <c r="AT31" s="59"/>
      <c r="AU31" s="59"/>
      <c r="AV31" s="59"/>
      <c r="AW31" s="59"/>
      <c r="AX31" s="59"/>
      <c r="AY31" s="59"/>
      <c r="AZ31" s="59"/>
      <c r="BA31" s="59"/>
      <c r="BB31" s="59"/>
      <c r="BC31" s="59"/>
      <c r="BD31" s="59"/>
      <c r="BE31" s="59"/>
      <c r="BF31" s="59"/>
      <c r="BG31" s="59"/>
      <c r="BH31" s="59">
        <v>306</v>
      </c>
      <c r="BI31" s="59"/>
      <c r="BJ31" s="59"/>
      <c r="BK31" s="59"/>
      <c r="BL31" s="59"/>
      <c r="BM31" s="59">
        <v>226</v>
      </c>
      <c r="BN31" s="59"/>
      <c r="BO31" s="59"/>
      <c r="BP31" s="59"/>
      <c r="BQ31" s="59"/>
      <c r="BR31" s="59"/>
      <c r="BS31" s="59">
        <v>287.06</v>
      </c>
      <c r="BT31" s="59"/>
      <c r="BU31" s="59"/>
      <c r="BV31" s="59">
        <v>299</v>
      </c>
      <c r="BW31" s="59"/>
      <c r="BX31" s="59"/>
      <c r="BY31" s="59">
        <v>304</v>
      </c>
      <c r="BZ31" s="59"/>
      <c r="CA31" s="59"/>
      <c r="CB31" s="59"/>
      <c r="CC31" s="59"/>
      <c r="CD31" s="59"/>
      <c r="CE31" s="59"/>
    </row>
    <row r="32" spans="2:83" s="30" customFormat="1" x14ac:dyDescent="0.55000000000000004">
      <c r="B32" s="87"/>
      <c r="C32" s="84" t="s">
        <v>323</v>
      </c>
      <c r="P32" s="66"/>
      <c r="Q32" s="68"/>
      <c r="R32" s="68"/>
      <c r="S32" s="68"/>
      <c r="T32" s="68"/>
      <c r="U32" s="68"/>
      <c r="V32" s="59"/>
      <c r="W32" s="59"/>
      <c r="X32" s="59"/>
      <c r="Y32" s="59"/>
      <c r="Z32" s="59"/>
      <c r="AA32" s="59"/>
      <c r="AB32" s="59"/>
      <c r="AC32" s="59"/>
      <c r="AD32" s="59"/>
      <c r="AE32" s="59"/>
      <c r="AF32" s="59"/>
      <c r="AG32" s="59"/>
      <c r="AH32" s="59"/>
      <c r="AI32" s="59"/>
      <c r="AJ32" s="59"/>
      <c r="AK32" s="59"/>
      <c r="AL32" s="68"/>
      <c r="AM32" s="68"/>
      <c r="AN32" s="68"/>
      <c r="AO32" s="68"/>
      <c r="AP32" s="68"/>
      <c r="AQ32" s="59"/>
      <c r="AR32" s="59"/>
      <c r="AS32" s="59"/>
      <c r="AT32" s="59"/>
      <c r="AU32" s="59"/>
      <c r="AV32" s="59"/>
      <c r="AW32" s="59"/>
      <c r="AX32" s="59"/>
      <c r="AY32" s="59"/>
      <c r="AZ32" s="59"/>
      <c r="BA32" s="59"/>
      <c r="BB32" s="59"/>
      <c r="BC32" s="59"/>
      <c r="BD32" s="59"/>
      <c r="BE32" s="59"/>
      <c r="BF32" s="59"/>
      <c r="BG32" s="59"/>
      <c r="BH32" s="59">
        <v>35</v>
      </c>
      <c r="BI32" s="59"/>
      <c r="BJ32" s="59"/>
      <c r="BK32" s="59"/>
      <c r="BL32" s="59"/>
      <c r="BM32" s="59"/>
      <c r="BN32" s="59"/>
      <c r="BO32" s="59"/>
      <c r="BP32" s="59"/>
      <c r="BQ32" s="59"/>
      <c r="BR32" s="59"/>
      <c r="BS32" s="59"/>
      <c r="BT32" s="59"/>
      <c r="BU32" s="59"/>
      <c r="BV32" s="59"/>
      <c r="BW32" s="59"/>
      <c r="BX32" s="59"/>
      <c r="BY32" s="59">
        <v>19</v>
      </c>
      <c r="BZ32" s="59"/>
      <c r="CA32" s="59"/>
      <c r="CB32" s="59"/>
      <c r="CC32" s="59"/>
      <c r="CD32" s="59"/>
      <c r="CE32" s="59"/>
    </row>
    <row r="33" spans="1:83" s="30" customFormat="1" x14ac:dyDescent="0.55000000000000004">
      <c r="B33" s="87"/>
      <c r="C33" s="87"/>
      <c r="P33" s="66"/>
      <c r="Q33" s="68"/>
      <c r="R33" s="68"/>
      <c r="S33" s="68"/>
      <c r="T33" s="68"/>
      <c r="U33" s="68"/>
      <c r="V33" s="59"/>
      <c r="W33" s="59"/>
      <c r="X33" s="59"/>
      <c r="Y33" s="59"/>
      <c r="Z33" s="59"/>
      <c r="AA33" s="59"/>
      <c r="AB33" s="59"/>
      <c r="AC33" s="59"/>
      <c r="AD33" s="59"/>
      <c r="AE33" s="59"/>
      <c r="AF33" s="59"/>
      <c r="AG33" s="59"/>
      <c r="AH33" s="59"/>
      <c r="AI33" s="59"/>
      <c r="AJ33" s="59"/>
      <c r="AK33" s="59"/>
      <c r="AL33" s="68"/>
      <c r="AM33" s="68"/>
      <c r="AN33" s="68"/>
      <c r="AO33" s="68"/>
      <c r="AP33" s="68"/>
      <c r="AQ33" s="59"/>
      <c r="AR33" s="59"/>
      <c r="AS33" s="59"/>
      <c r="AT33" s="59"/>
      <c r="AU33" s="59"/>
      <c r="AV33" s="59"/>
      <c r="AW33" s="59"/>
      <c r="AX33" s="59"/>
      <c r="AY33" s="59"/>
      <c r="AZ33" s="59"/>
      <c r="BA33" s="59"/>
      <c r="BB33" s="59"/>
      <c r="BC33" s="59"/>
      <c r="BD33" s="59"/>
      <c r="BE33" s="59"/>
      <c r="BF33" s="59"/>
      <c r="BG33" s="59"/>
      <c r="BH33" s="59"/>
      <c r="BI33" s="59"/>
      <c r="BJ33" s="59"/>
      <c r="BK33" s="59"/>
      <c r="BL33" s="59"/>
      <c r="BM33" s="59"/>
      <c r="BN33" s="59"/>
      <c r="BO33" s="59"/>
      <c r="BP33" s="59"/>
      <c r="BQ33" s="59"/>
      <c r="BR33" s="59"/>
      <c r="BS33" s="59"/>
      <c r="BT33" s="59"/>
      <c r="BU33" s="59"/>
      <c r="BV33" s="59"/>
      <c r="BW33" s="59"/>
      <c r="BX33" s="59"/>
      <c r="BY33" s="59"/>
      <c r="BZ33" s="59"/>
      <c r="CA33" s="59"/>
      <c r="CB33" s="59"/>
      <c r="CC33" s="59"/>
      <c r="CD33" s="59"/>
      <c r="CE33" s="59"/>
    </row>
    <row r="34" spans="1:83" s="30" customFormat="1" x14ac:dyDescent="0.55000000000000004">
      <c r="B34" s="30" t="s">
        <v>86</v>
      </c>
      <c r="C34" s="30" t="s">
        <v>87</v>
      </c>
      <c r="Q34" s="68"/>
      <c r="R34" s="68"/>
      <c r="S34" s="59"/>
      <c r="T34" s="59"/>
      <c r="U34" s="59"/>
      <c r="V34" s="59"/>
      <c r="W34" s="59"/>
      <c r="X34" s="59"/>
      <c r="Y34" s="59"/>
      <c r="Z34" s="59"/>
      <c r="AA34" s="59"/>
      <c r="AB34" s="59"/>
      <c r="AC34" s="59"/>
      <c r="AD34" s="59"/>
      <c r="AE34" s="59"/>
      <c r="AF34" s="59"/>
      <c r="AG34" s="59"/>
      <c r="AH34" s="59"/>
      <c r="AI34" s="59"/>
      <c r="AJ34" s="59"/>
      <c r="AK34" s="59"/>
      <c r="AL34" s="59"/>
      <c r="AM34" s="68">
        <v>6.7</v>
      </c>
      <c r="AN34" s="68">
        <v>9</v>
      </c>
      <c r="AO34" s="165">
        <v>10.8</v>
      </c>
      <c r="AP34" s="59">
        <v>12.6</v>
      </c>
      <c r="AQ34" s="59">
        <v>21</v>
      </c>
      <c r="AR34" s="59">
        <v>21</v>
      </c>
      <c r="AS34" s="59">
        <v>21</v>
      </c>
      <c r="AT34" s="59">
        <v>21</v>
      </c>
      <c r="AU34" s="165">
        <v>14.560586761363329</v>
      </c>
      <c r="AV34" s="165">
        <v>10.095746992151858</v>
      </c>
      <c r="AW34" s="59">
        <v>7</v>
      </c>
      <c r="AX34" s="59">
        <v>7.5</v>
      </c>
      <c r="AY34" s="59">
        <v>5</v>
      </c>
      <c r="AZ34" s="59">
        <v>15</v>
      </c>
      <c r="BA34" s="59">
        <v>18</v>
      </c>
      <c r="BB34" s="59">
        <v>18</v>
      </c>
      <c r="BC34" s="165">
        <v>22.46661716165552</v>
      </c>
      <c r="BD34" s="165">
        <v>28.041604816021909</v>
      </c>
      <c r="BE34" s="59">
        <v>35</v>
      </c>
      <c r="BF34" s="59">
        <v>70</v>
      </c>
      <c r="BG34" s="59">
        <v>70</v>
      </c>
      <c r="BH34" s="59">
        <v>70</v>
      </c>
      <c r="BI34" s="59">
        <v>70</v>
      </c>
      <c r="BJ34" s="59">
        <v>60</v>
      </c>
      <c r="BK34" s="59">
        <v>50</v>
      </c>
      <c r="BL34" s="59">
        <v>50</v>
      </c>
      <c r="BM34" s="59">
        <v>55</v>
      </c>
      <c r="BN34" s="59">
        <v>40</v>
      </c>
      <c r="BO34" s="59">
        <v>60</v>
      </c>
      <c r="BP34" s="59">
        <v>60</v>
      </c>
      <c r="BQ34" s="59">
        <v>60</v>
      </c>
      <c r="BR34" s="59">
        <v>60</v>
      </c>
      <c r="BS34" s="59">
        <v>60</v>
      </c>
      <c r="BT34" s="174">
        <v>55</v>
      </c>
      <c r="BU34" s="174">
        <v>50</v>
      </c>
      <c r="BV34" s="59">
        <v>45</v>
      </c>
      <c r="BW34" s="174">
        <f>(BV34+BX34)/2</f>
        <v>45</v>
      </c>
      <c r="BX34" s="59">
        <v>45</v>
      </c>
      <c r="BY34" s="174">
        <f>(BX34+BZ34)/2</f>
        <v>47.5</v>
      </c>
      <c r="BZ34" s="59">
        <v>50</v>
      </c>
      <c r="CA34" s="59"/>
      <c r="CB34" s="59">
        <v>45</v>
      </c>
      <c r="CC34" s="59"/>
      <c r="CD34" s="59"/>
      <c r="CE34" s="59"/>
    </row>
    <row r="35" spans="1:83" s="30" customFormat="1" x14ac:dyDescent="0.55000000000000004">
      <c r="B35" s="87"/>
      <c r="C35" s="87" t="s">
        <v>324</v>
      </c>
      <c r="P35" s="66"/>
      <c r="Q35" s="68"/>
      <c r="R35" s="68"/>
      <c r="S35" s="68"/>
      <c r="T35" s="68"/>
      <c r="U35" s="68"/>
      <c r="V35" s="59"/>
      <c r="W35" s="59"/>
      <c r="X35" s="59">
        <v>10.311999999999999</v>
      </c>
      <c r="Y35" s="59">
        <v>11.349</v>
      </c>
      <c r="Z35" s="59">
        <v>12.528</v>
      </c>
      <c r="AA35" s="59">
        <v>13.282</v>
      </c>
      <c r="AB35" s="59">
        <v>13.561999999999999</v>
      </c>
      <c r="AC35" s="59">
        <v>14.414000000000001</v>
      </c>
      <c r="AD35" s="165">
        <v>14.935500000000001</v>
      </c>
      <c r="AE35" s="59">
        <v>15.457000000000001</v>
      </c>
      <c r="AF35" s="59">
        <v>16.484999999999999</v>
      </c>
      <c r="AG35" s="59">
        <v>17.873999999999999</v>
      </c>
      <c r="AH35" s="59">
        <v>19.501999999999999</v>
      </c>
      <c r="AI35" s="59">
        <v>21.190999999999999</v>
      </c>
      <c r="AJ35" s="59">
        <v>22.248999999999999</v>
      </c>
      <c r="AK35" s="59">
        <v>23.672000000000001</v>
      </c>
      <c r="AL35" s="59">
        <v>24.3</v>
      </c>
      <c r="AM35" s="174">
        <v>26.443385672208315</v>
      </c>
      <c r="AN35" s="174">
        <v>28.775829045644116</v>
      </c>
      <c r="AO35" s="174">
        <v>31.314005987304586</v>
      </c>
      <c r="AP35" s="174">
        <v>34.076063261898582</v>
      </c>
      <c r="AQ35" s="174">
        <v>37.081748272631813</v>
      </c>
      <c r="AR35" s="174">
        <v>40.352550245800309</v>
      </c>
      <c r="AS35" s="174">
        <v>43.911853868595145</v>
      </c>
      <c r="AT35" s="174">
        <v>47.785106478556138</v>
      </c>
      <c r="AU35" s="59">
        <v>52</v>
      </c>
      <c r="AV35" s="174">
        <v>54.731752618343528</v>
      </c>
      <c r="AW35" s="174">
        <v>57.607014320683724</v>
      </c>
      <c r="AX35" s="174">
        <v>60.633324170789123</v>
      </c>
      <c r="AY35" s="174">
        <v>63.818617287374224</v>
      </c>
      <c r="AZ35" s="174">
        <v>67.171245650332835</v>
      </c>
      <c r="BA35" s="59">
        <v>70.7</v>
      </c>
      <c r="BB35" s="59">
        <v>79.3</v>
      </c>
      <c r="BC35" s="59">
        <v>88.199999999999989</v>
      </c>
      <c r="BD35" s="59">
        <v>91.5</v>
      </c>
      <c r="BE35" s="59">
        <v>97.300000000000011</v>
      </c>
      <c r="BF35" s="59">
        <v>96.1</v>
      </c>
      <c r="BG35" s="59">
        <v>95.9</v>
      </c>
      <c r="BH35" s="174">
        <v>105.4</v>
      </c>
      <c r="BI35" s="59">
        <v>114.9</v>
      </c>
      <c r="BJ35" s="59"/>
      <c r="BK35" s="59"/>
      <c r="BL35" s="59"/>
      <c r="BM35" s="59"/>
      <c r="BN35" s="59"/>
      <c r="BO35" s="59"/>
      <c r="BP35" s="59"/>
      <c r="BQ35" s="59"/>
      <c r="BR35" s="59"/>
      <c r="BS35" s="59"/>
      <c r="BT35" s="59"/>
      <c r="BU35" s="59"/>
      <c r="BV35" s="59"/>
      <c r="BW35" s="59"/>
      <c r="BX35" s="59"/>
      <c r="BY35" s="59"/>
      <c r="BZ35" s="59"/>
      <c r="CA35" s="59"/>
      <c r="CB35" s="59"/>
      <c r="CC35" s="59"/>
      <c r="CD35" s="59"/>
      <c r="CE35" s="59"/>
    </row>
    <row r="36" spans="1:83" s="7" customFormat="1" x14ac:dyDescent="0.5">
      <c r="A36" s="7" t="s">
        <v>62</v>
      </c>
      <c r="C36" s="8" t="s">
        <v>325</v>
      </c>
      <c r="D36" s="8"/>
      <c r="E36" s="8"/>
      <c r="F36" s="8"/>
      <c r="G36" s="8"/>
      <c r="H36" s="8"/>
      <c r="I36" s="8"/>
      <c r="J36" s="8"/>
      <c r="K36" s="8"/>
      <c r="L36" s="8"/>
      <c r="M36" s="8"/>
      <c r="N36" s="8"/>
      <c r="O36" s="9"/>
      <c r="P36" s="9"/>
      <c r="Q36" s="9"/>
      <c r="R36" s="9"/>
      <c r="S36" s="9"/>
      <c r="T36" s="9"/>
      <c r="U36" s="9"/>
      <c r="V36" s="9"/>
      <c r="W36" s="9"/>
      <c r="X36" s="9"/>
      <c r="Y36" s="9"/>
      <c r="Z36" s="9"/>
      <c r="AA36" s="9"/>
      <c r="AB36" s="9"/>
    </row>
    <row r="37" spans="1:83" s="30" customFormat="1" x14ac:dyDescent="0.55000000000000004">
      <c r="B37" s="87"/>
      <c r="C37" s="87" t="s">
        <v>326</v>
      </c>
      <c r="P37" s="66"/>
      <c r="Q37" s="66"/>
      <c r="R37" s="66"/>
      <c r="S37" s="66"/>
      <c r="T37" s="68"/>
      <c r="U37" s="68"/>
      <c r="V37" s="68"/>
      <c r="W37" s="68">
        <f t="shared" ref="W37:Z37" si="0">W38+W39</f>
        <v>95.525999999999996</v>
      </c>
      <c r="X37" s="68">
        <f t="shared" si="0"/>
        <v>99.566999999999993</v>
      </c>
      <c r="Y37" s="68">
        <f t="shared" si="0"/>
        <v>98.635999999999981</v>
      </c>
      <c r="Z37" s="68">
        <f t="shared" si="0"/>
        <v>101.4</v>
      </c>
      <c r="AA37" s="68">
        <f>AA38+AA39</f>
        <v>102.099</v>
      </c>
      <c r="AB37" s="68">
        <v>99.99</v>
      </c>
      <c r="AC37" s="68">
        <v>99.47</v>
      </c>
      <c r="AD37" s="68">
        <v>94.215999999999994</v>
      </c>
      <c r="AE37" s="68">
        <v>87.5</v>
      </c>
      <c r="AF37" s="68">
        <v>94.135999999999996</v>
      </c>
      <c r="AG37" s="68">
        <v>94.948999999999998</v>
      </c>
      <c r="AH37" s="68">
        <v>91.738</v>
      </c>
      <c r="AI37" s="68">
        <v>94.691999999999993</v>
      </c>
      <c r="AJ37" s="68">
        <v>108.794</v>
      </c>
      <c r="AK37" s="68">
        <v>113.83499999999999</v>
      </c>
      <c r="AL37" s="68">
        <v>128.815</v>
      </c>
      <c r="AM37" s="68">
        <v>133.94000000000003</v>
      </c>
      <c r="AN37" s="68">
        <v>149</v>
      </c>
      <c r="AO37" s="68">
        <v>184</v>
      </c>
      <c r="AP37" s="68">
        <v>203.7</v>
      </c>
      <c r="AQ37" s="68">
        <v>204.6</v>
      </c>
      <c r="AR37" s="68">
        <v>198.7</v>
      </c>
      <c r="AS37" s="68">
        <v>201.8</v>
      </c>
    </row>
    <row r="38" spans="1:83" s="30" customFormat="1" x14ac:dyDescent="0.55000000000000004">
      <c r="B38" s="87"/>
      <c r="C38" s="84" t="s">
        <v>327</v>
      </c>
      <c r="P38" s="66"/>
      <c r="Q38" s="66"/>
      <c r="R38" s="66"/>
      <c r="S38" s="66"/>
      <c r="T38" s="68">
        <v>89.6</v>
      </c>
      <c r="U38" s="68">
        <v>96.9</v>
      </c>
      <c r="V38" s="68">
        <v>98.199999999999989</v>
      </c>
      <c r="W38" s="68">
        <v>92.05</v>
      </c>
      <c r="X38" s="68">
        <v>95.949999999999989</v>
      </c>
      <c r="Y38" s="68">
        <v>94.749999999999986</v>
      </c>
      <c r="Z38" s="68">
        <v>97.103999999999999</v>
      </c>
      <c r="AA38" s="68">
        <v>97.8</v>
      </c>
      <c r="AB38" s="68">
        <v>95.677000000000007</v>
      </c>
      <c r="AC38" s="68">
        <v>95.300000000000011</v>
      </c>
      <c r="AD38" s="68">
        <v>90.559999999999988</v>
      </c>
      <c r="AE38" s="68">
        <v>85.399999999999991</v>
      </c>
      <c r="AF38" s="68">
        <v>91.499999999999986</v>
      </c>
      <c r="AG38" s="68">
        <v>92.249999999999986</v>
      </c>
      <c r="AH38" s="68">
        <v>88.7</v>
      </c>
      <c r="AI38" s="68">
        <v>91.700000000000017</v>
      </c>
      <c r="AJ38" s="68">
        <v>105.89999999999998</v>
      </c>
      <c r="AK38" s="68">
        <v>110.9</v>
      </c>
      <c r="AL38" s="68">
        <v>126.03999999999999</v>
      </c>
      <c r="AM38" s="68"/>
      <c r="AN38" s="68"/>
      <c r="AO38" s="68"/>
      <c r="AP38" s="68"/>
      <c r="AQ38" s="68"/>
      <c r="AR38" s="68"/>
      <c r="AS38" s="68"/>
    </row>
    <row r="39" spans="1:83" s="30" customFormat="1" x14ac:dyDescent="0.55000000000000004">
      <c r="B39" s="87"/>
      <c r="C39" s="84" t="s">
        <v>328</v>
      </c>
      <c r="P39" s="66"/>
      <c r="Q39" s="66"/>
      <c r="R39" s="66"/>
      <c r="S39" s="66"/>
      <c r="T39" s="68"/>
      <c r="U39" s="68"/>
      <c r="V39" s="68"/>
      <c r="W39" s="68">
        <f>SUM(W53:W63)</f>
        <v>3.4760000000000004</v>
      </c>
      <c r="X39" s="68">
        <f t="shared" ref="X39:AL39" si="1">SUM(X53:X63)</f>
        <v>3.6170000000000004</v>
      </c>
      <c r="Y39" s="68">
        <f t="shared" si="1"/>
        <v>3.8859999999999997</v>
      </c>
      <c r="Z39" s="68">
        <f t="shared" si="1"/>
        <v>4.2959999999999994</v>
      </c>
      <c r="AA39" s="68">
        <f t="shared" si="1"/>
        <v>4.2990000000000004</v>
      </c>
      <c r="AB39" s="68">
        <f t="shared" si="1"/>
        <v>4.1770000000000005</v>
      </c>
      <c r="AC39" s="68">
        <f t="shared" si="1"/>
        <v>4.0709999999999997</v>
      </c>
      <c r="AD39" s="68">
        <f t="shared" si="1"/>
        <v>3.24871</v>
      </c>
      <c r="AE39" s="68">
        <f t="shared" si="1"/>
        <v>3.0739999999999998</v>
      </c>
      <c r="AF39" s="68">
        <f t="shared" si="1"/>
        <v>2.536</v>
      </c>
      <c r="AG39" s="68">
        <f t="shared" si="1"/>
        <v>2.8239999999999998</v>
      </c>
      <c r="AH39" s="68">
        <f t="shared" si="1"/>
        <v>3.0380000000000003</v>
      </c>
      <c r="AI39" s="68">
        <f t="shared" si="1"/>
        <v>2.9249999999999998</v>
      </c>
      <c r="AJ39" s="68">
        <f t="shared" si="1"/>
        <v>2.9670000000000001</v>
      </c>
      <c r="AK39" s="68">
        <f t="shared" si="1"/>
        <v>2.9990000000000006</v>
      </c>
      <c r="AL39" s="68">
        <f t="shared" si="1"/>
        <v>2.665</v>
      </c>
      <c r="AM39" s="68"/>
      <c r="AN39" s="68"/>
      <c r="AO39" s="68"/>
      <c r="AP39" s="68"/>
      <c r="AQ39" s="68"/>
      <c r="AR39" s="68"/>
      <c r="AS39" s="68"/>
    </row>
    <row r="40" spans="1:83" s="30" customFormat="1" x14ac:dyDescent="0.55000000000000004">
      <c r="B40" s="87"/>
      <c r="C40" s="125" t="s">
        <v>329</v>
      </c>
      <c r="P40" s="66"/>
      <c r="Q40" s="66"/>
      <c r="R40" s="66"/>
      <c r="S40" s="66"/>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row>
    <row r="41" spans="1:83" s="30" customFormat="1" x14ac:dyDescent="0.55000000000000004">
      <c r="B41" s="87"/>
      <c r="C41" s="89" t="s">
        <v>330</v>
      </c>
      <c r="D41" s="86"/>
      <c r="E41" s="86"/>
      <c r="F41" s="86"/>
      <c r="G41" s="86"/>
      <c r="H41" s="86"/>
      <c r="I41" s="86"/>
      <c r="J41" s="86"/>
      <c r="K41" s="86"/>
      <c r="L41" s="86"/>
      <c r="M41" s="86"/>
      <c r="N41" s="86"/>
      <c r="O41" s="86"/>
      <c r="P41" s="80"/>
      <c r="Q41" s="80"/>
      <c r="R41" s="80"/>
      <c r="S41" s="80"/>
      <c r="T41" s="68">
        <v>3</v>
      </c>
      <c r="U41" s="68">
        <v>2.8</v>
      </c>
      <c r="V41" s="68">
        <v>3.1</v>
      </c>
      <c r="W41" s="68">
        <v>3.2</v>
      </c>
      <c r="X41" s="68">
        <v>2.9</v>
      </c>
      <c r="Y41" s="68">
        <v>3.5</v>
      </c>
      <c r="Z41" s="68">
        <v>3.1969999999999996</v>
      </c>
      <c r="AA41" s="68">
        <v>3.7</v>
      </c>
      <c r="AB41" s="68">
        <v>4.2</v>
      </c>
      <c r="AC41" s="68">
        <v>3.9</v>
      </c>
      <c r="AD41" s="68">
        <v>4.2</v>
      </c>
      <c r="AE41" s="68">
        <v>4.2</v>
      </c>
      <c r="AF41" s="68">
        <v>4.7</v>
      </c>
      <c r="AG41" s="68">
        <v>5.2</v>
      </c>
      <c r="AH41" s="68">
        <v>5.9</v>
      </c>
      <c r="AI41" s="68">
        <v>4.9000000000000004</v>
      </c>
      <c r="AJ41" s="68">
        <v>6.4</v>
      </c>
      <c r="AK41" s="68">
        <v>6.9</v>
      </c>
      <c r="AL41" s="68">
        <v>7</v>
      </c>
      <c r="AM41" s="145">
        <v>7.7</v>
      </c>
      <c r="AN41" s="68">
        <v>13.8</v>
      </c>
      <c r="AO41" s="68">
        <v>13.4</v>
      </c>
      <c r="AP41" s="68">
        <v>19.399999999999999</v>
      </c>
      <c r="AQ41" s="68">
        <v>18.3</v>
      </c>
      <c r="AR41" s="68">
        <v>18.399999999999999</v>
      </c>
      <c r="AS41" s="68">
        <v>42.579800000000006</v>
      </c>
      <c r="AT41" s="86"/>
    </row>
    <row r="42" spans="1:83" s="30" customFormat="1" x14ac:dyDescent="0.55000000000000004">
      <c r="B42" s="87"/>
      <c r="C42" s="89" t="s">
        <v>331</v>
      </c>
      <c r="D42" s="86"/>
      <c r="E42" s="86"/>
      <c r="F42" s="86"/>
      <c r="G42" s="86"/>
      <c r="H42" s="86"/>
      <c r="I42" s="86"/>
      <c r="J42" s="86"/>
      <c r="K42" s="86"/>
      <c r="L42" s="86"/>
      <c r="M42" s="86"/>
      <c r="N42" s="86"/>
      <c r="O42" s="86"/>
      <c r="P42" s="80"/>
      <c r="Q42" s="80"/>
      <c r="R42" s="80"/>
      <c r="S42" s="80"/>
      <c r="T42" s="68">
        <v>2.8</v>
      </c>
      <c r="U42" s="68">
        <v>2.4</v>
      </c>
      <c r="V42" s="68">
        <v>2.8</v>
      </c>
      <c r="W42" s="68">
        <v>3.1</v>
      </c>
      <c r="X42" s="68">
        <v>4.3</v>
      </c>
      <c r="Y42" s="68">
        <v>2.9</v>
      </c>
      <c r="Z42" s="68">
        <v>3.5470000000000002</v>
      </c>
      <c r="AA42" s="68">
        <v>3.1</v>
      </c>
      <c r="AB42" s="68">
        <v>3</v>
      </c>
      <c r="AC42" s="68">
        <v>3.2</v>
      </c>
      <c r="AD42" s="68">
        <v>3.1</v>
      </c>
      <c r="AE42" s="68">
        <v>2.8</v>
      </c>
      <c r="AF42" s="68">
        <v>3</v>
      </c>
      <c r="AG42" s="68">
        <v>3.1</v>
      </c>
      <c r="AH42" s="68">
        <v>2.4</v>
      </c>
      <c r="AI42" s="68">
        <v>3.8</v>
      </c>
      <c r="AJ42" s="68">
        <v>3.1</v>
      </c>
      <c r="AK42" s="68">
        <v>2.2999999999999998</v>
      </c>
      <c r="AL42" s="68">
        <v>2.9</v>
      </c>
      <c r="AM42" s="145">
        <v>3.2</v>
      </c>
      <c r="AN42" s="68"/>
      <c r="AO42" s="68"/>
      <c r="AP42" s="68"/>
      <c r="AQ42" s="68"/>
      <c r="AR42" s="68"/>
      <c r="AS42" s="68"/>
      <c r="AT42" s="86"/>
    </row>
    <row r="43" spans="1:83" s="30" customFormat="1" x14ac:dyDescent="0.55000000000000004">
      <c r="B43" s="87"/>
      <c r="C43" s="89" t="s">
        <v>332</v>
      </c>
      <c r="D43" s="86"/>
      <c r="E43" s="86"/>
      <c r="F43" s="86"/>
      <c r="G43" s="86"/>
      <c r="H43" s="86"/>
      <c r="I43" s="86"/>
      <c r="J43" s="86"/>
      <c r="K43" s="86"/>
      <c r="L43" s="86"/>
      <c r="M43" s="86"/>
      <c r="N43" s="86"/>
      <c r="O43" s="86"/>
      <c r="P43" s="80"/>
      <c r="Q43" s="80"/>
      <c r="R43" s="80"/>
      <c r="S43" s="121"/>
      <c r="T43" s="68"/>
      <c r="U43" s="68"/>
      <c r="V43" s="68"/>
      <c r="W43" s="68">
        <v>0.05</v>
      </c>
      <c r="X43" s="68">
        <v>0.05</v>
      </c>
      <c r="Y43" s="68">
        <v>0.05</v>
      </c>
      <c r="Z43" s="68">
        <v>0.2</v>
      </c>
      <c r="AA43" s="68">
        <v>0.1</v>
      </c>
      <c r="AB43" s="68">
        <v>0.14699999999999999</v>
      </c>
      <c r="AC43" s="68">
        <v>0.3</v>
      </c>
      <c r="AD43" s="68">
        <v>0.06</v>
      </c>
      <c r="AE43" s="68">
        <v>0.1</v>
      </c>
      <c r="AF43" s="68">
        <v>0.1</v>
      </c>
      <c r="AG43" s="68">
        <v>0.05</v>
      </c>
      <c r="AH43" s="68">
        <v>0.1</v>
      </c>
      <c r="AI43" s="68">
        <v>0.1</v>
      </c>
      <c r="AJ43" s="68">
        <v>0.1</v>
      </c>
      <c r="AK43" s="68">
        <v>0.1</v>
      </c>
      <c r="AL43" s="68">
        <v>0.04</v>
      </c>
      <c r="AM43" s="145">
        <v>0.04</v>
      </c>
      <c r="AN43" s="68"/>
      <c r="AO43" s="68">
        <v>0.1</v>
      </c>
      <c r="AP43" s="68">
        <v>0.1</v>
      </c>
      <c r="AQ43" s="68">
        <v>0.1</v>
      </c>
      <c r="AR43" s="68">
        <v>0.1</v>
      </c>
      <c r="AS43" s="68">
        <v>2.2198000000000002</v>
      </c>
      <c r="AT43" s="86"/>
    </row>
    <row r="44" spans="1:83" s="30" customFormat="1" x14ac:dyDescent="0.55000000000000004">
      <c r="B44" s="87"/>
      <c r="C44" s="89" t="s">
        <v>333</v>
      </c>
      <c r="D44" s="86"/>
      <c r="E44" s="86"/>
      <c r="F44" s="86"/>
      <c r="G44" s="86"/>
      <c r="H44" s="86"/>
      <c r="I44" s="86"/>
      <c r="J44" s="86"/>
      <c r="K44" s="86"/>
      <c r="L44" s="86"/>
      <c r="M44" s="86"/>
      <c r="N44" s="86"/>
      <c r="O44" s="86"/>
      <c r="P44" s="80"/>
      <c r="Q44" s="80"/>
      <c r="R44" s="80"/>
      <c r="S44" s="121"/>
      <c r="T44" s="68">
        <v>0.1</v>
      </c>
      <c r="U44" s="68">
        <v>0.1</v>
      </c>
      <c r="V44" s="68">
        <v>0.4</v>
      </c>
      <c r="W44" s="68">
        <v>0.4</v>
      </c>
      <c r="X44" s="68">
        <v>0.4</v>
      </c>
      <c r="Y44" s="68">
        <v>0.3</v>
      </c>
      <c r="Z44" s="68">
        <v>0.25700000000000001</v>
      </c>
      <c r="AA44" s="68">
        <v>0.3</v>
      </c>
      <c r="AB44" s="68">
        <v>0.27</v>
      </c>
      <c r="AC44" s="68">
        <v>0.2</v>
      </c>
      <c r="AD44" s="68">
        <v>0.2</v>
      </c>
      <c r="AE44" s="68">
        <v>0.2</v>
      </c>
      <c r="AF44" s="68">
        <v>0.2</v>
      </c>
      <c r="AG44" s="68">
        <v>0.2</v>
      </c>
      <c r="AH44" s="68">
        <v>0.2</v>
      </c>
      <c r="AI44" s="68">
        <v>0.2</v>
      </c>
      <c r="AJ44" s="68">
        <v>0.3</v>
      </c>
      <c r="AK44" s="68">
        <v>0.4</v>
      </c>
      <c r="AL44" s="68">
        <v>0.3</v>
      </c>
      <c r="AM44" s="145">
        <v>0.3</v>
      </c>
      <c r="AN44" s="68">
        <v>0.9</v>
      </c>
      <c r="AO44" s="68">
        <v>0.4</v>
      </c>
      <c r="AP44" s="68">
        <v>0.5</v>
      </c>
      <c r="AQ44" s="68">
        <v>0.5</v>
      </c>
      <c r="AR44" s="68">
        <v>0.4</v>
      </c>
      <c r="AS44" s="68">
        <v>27.243000000000002</v>
      </c>
      <c r="AT44" s="86"/>
    </row>
    <row r="45" spans="1:83" s="30" customFormat="1" x14ac:dyDescent="0.55000000000000004">
      <c r="B45" s="87"/>
      <c r="C45" s="89" t="s">
        <v>334</v>
      </c>
      <c r="D45" s="86"/>
      <c r="E45" s="86"/>
      <c r="F45" s="86"/>
      <c r="G45" s="86"/>
      <c r="H45" s="86"/>
      <c r="I45" s="86"/>
      <c r="J45" s="86"/>
      <c r="K45" s="86"/>
      <c r="L45" s="86"/>
      <c r="M45" s="86"/>
      <c r="N45" s="86"/>
      <c r="O45" s="86"/>
      <c r="P45" s="80"/>
      <c r="Q45" s="80"/>
      <c r="R45" s="80"/>
      <c r="S45" s="80"/>
      <c r="T45" s="68">
        <v>23</v>
      </c>
      <c r="U45" s="68">
        <v>29.3</v>
      </c>
      <c r="V45" s="68">
        <v>27.3</v>
      </c>
      <c r="W45" s="68">
        <v>20.2</v>
      </c>
      <c r="X45" s="68">
        <v>19.7</v>
      </c>
      <c r="Y45" s="68">
        <v>16.399999999999999</v>
      </c>
      <c r="Z45" s="68">
        <v>18.05</v>
      </c>
      <c r="AA45" s="68">
        <v>16.399999999999999</v>
      </c>
      <c r="AB45" s="68">
        <v>17.100000000000001</v>
      </c>
      <c r="AC45" s="68">
        <v>19.5</v>
      </c>
      <c r="AD45" s="68">
        <v>19.2</v>
      </c>
      <c r="AE45" s="68">
        <v>18.8</v>
      </c>
      <c r="AF45" s="68">
        <v>17.2</v>
      </c>
      <c r="AG45" s="68">
        <v>21.6</v>
      </c>
      <c r="AH45" s="68">
        <v>19.899999999999999</v>
      </c>
      <c r="AI45" s="68">
        <v>22.5</v>
      </c>
      <c r="AJ45" s="68">
        <v>28.9</v>
      </c>
      <c r="AK45" s="68">
        <v>29.1</v>
      </c>
      <c r="AL45" s="68">
        <v>32.6</v>
      </c>
      <c r="AM45" s="145">
        <v>33.5</v>
      </c>
      <c r="AN45" s="68">
        <v>29.5</v>
      </c>
      <c r="AO45" s="68">
        <v>33.5</v>
      </c>
      <c r="AP45" s="68">
        <v>39.700000000000003</v>
      </c>
      <c r="AQ45" s="68">
        <v>39.799999999999997</v>
      </c>
      <c r="AR45" s="68">
        <v>37.200000000000003</v>
      </c>
      <c r="AS45" s="68">
        <v>24.619600000000002</v>
      </c>
      <c r="AT45" s="86"/>
    </row>
    <row r="46" spans="1:83" s="30" customFormat="1" x14ac:dyDescent="0.55000000000000004">
      <c r="B46" s="87"/>
      <c r="C46" s="89" t="s">
        <v>335</v>
      </c>
      <c r="D46" s="86"/>
      <c r="E46" s="86"/>
      <c r="F46" s="86"/>
      <c r="G46" s="86"/>
      <c r="H46" s="86"/>
      <c r="I46" s="86"/>
      <c r="J46" s="86"/>
      <c r="K46" s="86"/>
      <c r="L46" s="86"/>
      <c r="M46" s="86"/>
      <c r="N46" s="86"/>
      <c r="O46" s="86"/>
      <c r="P46" s="80"/>
      <c r="Q46" s="80"/>
      <c r="R46" s="80"/>
      <c r="S46" s="80"/>
      <c r="T46" s="68"/>
      <c r="U46" s="68"/>
      <c r="V46" s="68"/>
      <c r="W46" s="68">
        <v>0.4</v>
      </c>
      <c r="X46" s="68"/>
      <c r="Y46" s="68">
        <v>0.6</v>
      </c>
      <c r="Z46" s="68">
        <v>1.0570000000000002</v>
      </c>
      <c r="AA46" s="68">
        <v>0.7</v>
      </c>
      <c r="AB46" s="68">
        <v>0.66</v>
      </c>
      <c r="AC46" s="68">
        <v>1</v>
      </c>
      <c r="AD46" s="68">
        <v>0.6</v>
      </c>
      <c r="AE46" s="68">
        <v>0.3</v>
      </c>
      <c r="AF46" s="68">
        <v>0.2</v>
      </c>
      <c r="AG46" s="68">
        <v>0.1</v>
      </c>
      <c r="AH46" s="68">
        <v>0.1</v>
      </c>
      <c r="AI46" s="68">
        <v>0.1</v>
      </c>
      <c r="AJ46" s="68">
        <v>0.1</v>
      </c>
      <c r="AK46" s="68">
        <v>0.1</v>
      </c>
      <c r="AL46" s="68">
        <v>0.1</v>
      </c>
      <c r="AM46" s="145">
        <v>0.1</v>
      </c>
      <c r="AN46" s="68">
        <v>0.1</v>
      </c>
      <c r="AO46" s="68">
        <v>0.1</v>
      </c>
      <c r="AP46" s="68">
        <v>0.1</v>
      </c>
      <c r="AQ46" s="68">
        <v>0.1</v>
      </c>
      <c r="AR46" s="68">
        <v>0.1</v>
      </c>
      <c r="AS46" s="68">
        <v>7.4666000000000015</v>
      </c>
      <c r="AT46" s="86"/>
    </row>
    <row r="47" spans="1:83" s="30" customFormat="1" x14ac:dyDescent="0.55000000000000004">
      <c r="B47" s="87"/>
      <c r="C47" s="89" t="s">
        <v>336</v>
      </c>
      <c r="D47" s="86"/>
      <c r="E47" s="86"/>
      <c r="F47" s="86"/>
      <c r="G47" s="86"/>
      <c r="H47" s="86"/>
      <c r="I47" s="86"/>
      <c r="J47" s="86"/>
      <c r="K47" s="86"/>
      <c r="L47" s="86"/>
      <c r="M47" s="86"/>
      <c r="N47" s="86"/>
      <c r="O47" s="86"/>
      <c r="P47" s="80"/>
      <c r="Q47" s="80"/>
      <c r="R47" s="80"/>
      <c r="S47" s="80"/>
      <c r="T47" s="68">
        <v>5.3</v>
      </c>
      <c r="U47" s="68">
        <v>5.3</v>
      </c>
      <c r="V47" s="68">
        <v>5.8</v>
      </c>
      <c r="W47" s="68">
        <v>6.8</v>
      </c>
      <c r="X47" s="68">
        <v>7.1</v>
      </c>
      <c r="Y47" s="68">
        <v>8.1</v>
      </c>
      <c r="Z47" s="68">
        <v>7.75</v>
      </c>
      <c r="AA47" s="68">
        <v>7.4</v>
      </c>
      <c r="AB47" s="68">
        <v>7.7</v>
      </c>
      <c r="AC47" s="68">
        <v>7</v>
      </c>
      <c r="AD47" s="68">
        <v>5.9</v>
      </c>
      <c r="AE47" s="68">
        <v>6.7</v>
      </c>
      <c r="AF47" s="68">
        <v>6</v>
      </c>
      <c r="AG47" s="68">
        <v>6.3</v>
      </c>
      <c r="AH47" s="68">
        <v>5.8</v>
      </c>
      <c r="AI47" s="68">
        <v>6.6</v>
      </c>
      <c r="AJ47" s="68">
        <v>6.8</v>
      </c>
      <c r="AK47" s="68">
        <v>7.2</v>
      </c>
      <c r="AL47" s="68">
        <v>7.6</v>
      </c>
      <c r="AM47" s="145">
        <v>8.8000000000000007</v>
      </c>
      <c r="AN47" s="68">
        <v>8.1</v>
      </c>
      <c r="AO47" s="68">
        <v>7.9</v>
      </c>
      <c r="AP47" s="68">
        <v>8.9</v>
      </c>
      <c r="AQ47" s="68">
        <v>8.6</v>
      </c>
      <c r="AR47" s="68">
        <v>8.5</v>
      </c>
      <c r="AS47" s="68">
        <v>6.8612000000000011</v>
      </c>
      <c r="AT47" s="86"/>
    </row>
    <row r="48" spans="1:83" s="30" customFormat="1" x14ac:dyDescent="0.55000000000000004">
      <c r="B48" s="87"/>
      <c r="C48" s="89" t="s">
        <v>337</v>
      </c>
      <c r="D48" s="86"/>
      <c r="E48" s="86"/>
      <c r="F48" s="86"/>
      <c r="G48" s="86"/>
      <c r="H48" s="86"/>
      <c r="I48" s="86"/>
      <c r="J48" s="86"/>
      <c r="K48" s="86"/>
      <c r="L48" s="86"/>
      <c r="M48" s="86"/>
      <c r="N48" s="86"/>
      <c r="O48" s="86"/>
      <c r="P48" s="80"/>
      <c r="Q48" s="80"/>
      <c r="R48" s="80"/>
      <c r="S48" s="121"/>
      <c r="T48" s="68">
        <v>9.9</v>
      </c>
      <c r="U48" s="68">
        <v>9.6</v>
      </c>
      <c r="V48" s="68">
        <v>11.1</v>
      </c>
      <c r="W48" s="68">
        <v>11.5</v>
      </c>
      <c r="X48" s="68">
        <v>12.8</v>
      </c>
      <c r="Y48" s="68">
        <v>13.2</v>
      </c>
      <c r="Z48" s="68">
        <v>14.304</v>
      </c>
      <c r="AA48" s="68">
        <v>14.7</v>
      </c>
      <c r="AB48" s="68">
        <v>14.6</v>
      </c>
      <c r="AC48" s="68">
        <v>14.3</v>
      </c>
      <c r="AD48" s="68">
        <v>15.6</v>
      </c>
      <c r="AE48" s="68">
        <v>13.4</v>
      </c>
      <c r="AF48" s="68">
        <v>15.4</v>
      </c>
      <c r="AG48" s="68">
        <v>13.9</v>
      </c>
      <c r="AH48" s="68">
        <v>14.9</v>
      </c>
      <c r="AI48" s="68">
        <v>15.5</v>
      </c>
      <c r="AJ48" s="68">
        <v>16.600000000000001</v>
      </c>
      <c r="AK48" s="68">
        <v>17.8</v>
      </c>
      <c r="AL48" s="68">
        <v>20.9</v>
      </c>
      <c r="AM48" s="145">
        <v>45.6</v>
      </c>
      <c r="AN48" s="68">
        <v>54.6</v>
      </c>
      <c r="AO48" s="68">
        <v>69</v>
      </c>
      <c r="AP48" s="68">
        <v>135</v>
      </c>
      <c r="AQ48" s="68">
        <v>137.19999999999999</v>
      </c>
      <c r="AR48" s="68">
        <v>134</v>
      </c>
      <c r="AS48" s="68">
        <v>90.81</v>
      </c>
      <c r="AT48" s="86"/>
    </row>
    <row r="49" spans="2:46" s="30" customFormat="1" x14ac:dyDescent="0.55000000000000004">
      <c r="B49" s="87"/>
      <c r="C49" s="89" t="s">
        <v>338</v>
      </c>
      <c r="D49" s="86"/>
      <c r="E49" s="86"/>
      <c r="F49" s="86"/>
      <c r="G49" s="86"/>
      <c r="H49" s="86"/>
      <c r="I49" s="86"/>
      <c r="J49" s="86"/>
      <c r="K49" s="86"/>
      <c r="L49" s="86"/>
      <c r="M49" s="86"/>
      <c r="N49" s="86"/>
      <c r="O49" s="86"/>
      <c r="P49" s="80"/>
      <c r="Q49" s="80"/>
      <c r="R49" s="80"/>
      <c r="S49" s="80"/>
      <c r="T49" s="68">
        <v>37.299999999999997</v>
      </c>
      <c r="U49" s="68">
        <v>37.200000000000003</v>
      </c>
      <c r="V49" s="68">
        <v>37.299999999999997</v>
      </c>
      <c r="W49" s="68">
        <v>35.4</v>
      </c>
      <c r="X49" s="68">
        <v>37</v>
      </c>
      <c r="Y49" s="68">
        <v>38.9</v>
      </c>
      <c r="Z49" s="68">
        <v>35.911000000000001</v>
      </c>
      <c r="AA49" s="68">
        <v>38.299999999999997</v>
      </c>
      <c r="AB49" s="68">
        <v>34.5</v>
      </c>
      <c r="AC49" s="68">
        <v>32</v>
      </c>
      <c r="AD49" s="68">
        <v>28.5</v>
      </c>
      <c r="AE49" s="68">
        <v>26.1</v>
      </c>
      <c r="AF49" s="68">
        <v>29</v>
      </c>
      <c r="AG49" s="68">
        <v>24.9</v>
      </c>
      <c r="AH49" s="68">
        <v>20.2</v>
      </c>
      <c r="AI49" s="68">
        <v>17.5</v>
      </c>
      <c r="AJ49" s="68">
        <v>20.399999999999999</v>
      </c>
      <c r="AK49" s="68">
        <v>21.2</v>
      </c>
      <c r="AL49" s="68">
        <v>23.5</v>
      </c>
      <c r="AM49" s="145"/>
      <c r="AN49" s="68"/>
      <c r="AO49" s="68"/>
      <c r="AP49" s="68"/>
      <c r="AQ49" s="68"/>
      <c r="AR49" s="68"/>
      <c r="AS49" s="68"/>
      <c r="AT49" s="86"/>
    </row>
    <row r="50" spans="2:46" s="30" customFormat="1" x14ac:dyDescent="0.55000000000000004">
      <c r="B50" s="87"/>
      <c r="C50" s="89" t="s">
        <v>339</v>
      </c>
      <c r="D50" s="86"/>
      <c r="E50" s="86"/>
      <c r="F50" s="86"/>
      <c r="G50" s="86"/>
      <c r="H50" s="86"/>
      <c r="I50" s="86"/>
      <c r="J50" s="86"/>
      <c r="K50" s="86"/>
      <c r="L50" s="86"/>
      <c r="M50" s="86"/>
      <c r="N50" s="86"/>
      <c r="O50" s="86"/>
      <c r="P50" s="80"/>
      <c r="Q50" s="80"/>
      <c r="R50" s="80"/>
      <c r="S50" s="80"/>
      <c r="T50" s="68">
        <v>6.4</v>
      </c>
      <c r="U50" s="68">
        <v>7.7</v>
      </c>
      <c r="V50" s="68">
        <v>7.6</v>
      </c>
      <c r="W50" s="68">
        <v>8.1</v>
      </c>
      <c r="X50" s="68">
        <v>8.6</v>
      </c>
      <c r="Y50" s="68">
        <v>8.1999999999999993</v>
      </c>
      <c r="Z50" s="68">
        <v>9.6880000000000006</v>
      </c>
      <c r="AA50" s="68">
        <v>10.199999999999999</v>
      </c>
      <c r="AB50" s="68">
        <v>10.6</v>
      </c>
      <c r="AC50" s="68">
        <v>10.9</v>
      </c>
      <c r="AD50" s="68">
        <v>10.1</v>
      </c>
      <c r="AE50" s="68">
        <v>10.199999999999999</v>
      </c>
      <c r="AF50" s="68">
        <v>13.1</v>
      </c>
      <c r="AG50" s="68">
        <v>13.6</v>
      </c>
      <c r="AH50" s="68">
        <v>15.4</v>
      </c>
      <c r="AI50" s="68">
        <v>16.600000000000001</v>
      </c>
      <c r="AJ50" s="68">
        <v>19.100000000000001</v>
      </c>
      <c r="AK50" s="68">
        <v>20.9</v>
      </c>
      <c r="AL50" s="68">
        <v>28.3</v>
      </c>
      <c r="AM50" s="145">
        <v>32.299999999999997</v>
      </c>
      <c r="AN50" s="68">
        <v>42</v>
      </c>
      <c r="AO50" s="68">
        <v>59.6</v>
      </c>
      <c r="AP50" s="68"/>
      <c r="AQ50" s="68"/>
      <c r="AR50" s="68"/>
      <c r="AS50" s="68"/>
      <c r="AT50" s="86"/>
    </row>
    <row r="51" spans="2:46" s="30" customFormat="1" x14ac:dyDescent="0.55000000000000004">
      <c r="B51" s="87"/>
      <c r="C51" s="89" t="s">
        <v>340</v>
      </c>
      <c r="D51" s="86"/>
      <c r="E51" s="86"/>
      <c r="F51" s="86"/>
      <c r="G51" s="86"/>
      <c r="H51" s="86"/>
      <c r="I51" s="86"/>
      <c r="J51" s="86"/>
      <c r="K51" s="86"/>
      <c r="L51" s="86"/>
      <c r="M51" s="86"/>
      <c r="N51" s="86"/>
      <c r="O51" s="86"/>
      <c r="P51" s="80"/>
      <c r="Q51" s="80"/>
      <c r="R51" s="80"/>
      <c r="S51" s="80"/>
      <c r="T51" s="68">
        <v>1.8</v>
      </c>
      <c r="U51" s="68">
        <v>2.5</v>
      </c>
      <c r="V51" s="68">
        <v>2.8</v>
      </c>
      <c r="W51" s="68">
        <v>2.9</v>
      </c>
      <c r="X51" s="68">
        <v>3.1</v>
      </c>
      <c r="Y51" s="68">
        <v>2.6</v>
      </c>
      <c r="Z51" s="68">
        <v>3.1429999999999998</v>
      </c>
      <c r="AA51" s="68">
        <v>2.9</v>
      </c>
      <c r="AB51" s="68">
        <v>2.9</v>
      </c>
      <c r="AC51" s="68">
        <v>3</v>
      </c>
      <c r="AD51" s="68">
        <v>3.1</v>
      </c>
      <c r="AE51" s="68">
        <v>2.6</v>
      </c>
      <c r="AF51" s="68">
        <v>2.6</v>
      </c>
      <c r="AG51" s="68">
        <v>3.3</v>
      </c>
      <c r="AH51" s="68">
        <v>3.8</v>
      </c>
      <c r="AI51" s="68">
        <v>3.9</v>
      </c>
      <c r="AJ51" s="68">
        <v>4.0999999999999996</v>
      </c>
      <c r="AK51" s="68">
        <v>4.9000000000000004</v>
      </c>
      <c r="AL51" s="68">
        <v>2.8</v>
      </c>
      <c r="AM51" s="145">
        <v>2.4</v>
      </c>
      <c r="AN51" s="68"/>
      <c r="AO51" s="68"/>
      <c r="AP51" s="68"/>
      <c r="AQ51" s="68"/>
      <c r="AR51" s="68"/>
      <c r="AS51" s="68"/>
      <c r="AT51" s="86"/>
    </row>
    <row r="52" spans="2:46" s="30" customFormat="1" x14ac:dyDescent="0.55000000000000004">
      <c r="B52" s="87"/>
      <c r="C52" s="125" t="s">
        <v>341</v>
      </c>
      <c r="D52" s="86"/>
      <c r="E52" s="86"/>
      <c r="F52" s="86"/>
      <c r="G52" s="86"/>
      <c r="H52" s="86"/>
      <c r="I52" s="86"/>
      <c r="J52" s="86"/>
      <c r="K52" s="86"/>
      <c r="L52" s="86"/>
      <c r="M52" s="86"/>
      <c r="N52" s="86"/>
      <c r="O52" s="86"/>
      <c r="P52" s="80"/>
      <c r="Q52" s="80"/>
      <c r="R52" s="80"/>
      <c r="S52" s="80"/>
      <c r="T52" s="80"/>
      <c r="U52" s="80"/>
      <c r="V52" s="80"/>
      <c r="W52" s="80"/>
      <c r="X52" s="80"/>
      <c r="Y52" s="80"/>
      <c r="Z52" s="80"/>
      <c r="AA52" s="80"/>
      <c r="AB52" s="80"/>
      <c r="AC52" s="80"/>
      <c r="AD52" s="80"/>
      <c r="AE52" s="80"/>
      <c r="AF52" s="80"/>
      <c r="AG52" s="80"/>
      <c r="AH52" s="80"/>
      <c r="AI52" s="80"/>
      <c r="AJ52" s="80"/>
      <c r="AK52" s="80"/>
      <c r="AL52" s="90"/>
      <c r="AM52" s="80"/>
      <c r="AN52" s="90"/>
      <c r="AO52" s="107"/>
      <c r="AP52" s="107"/>
      <c r="AQ52" s="80"/>
      <c r="AR52" s="80"/>
      <c r="AS52" s="80"/>
      <c r="AT52" s="86"/>
    </row>
    <row r="53" spans="2:46" s="30" customFormat="1" x14ac:dyDescent="0.55000000000000004">
      <c r="B53" s="87"/>
      <c r="C53" s="89" t="s">
        <v>330</v>
      </c>
      <c r="D53" s="86"/>
      <c r="E53" s="86"/>
      <c r="F53" s="86"/>
      <c r="G53" s="86"/>
      <c r="H53" s="86"/>
      <c r="I53" s="86"/>
      <c r="J53" s="86"/>
      <c r="K53" s="86"/>
      <c r="L53" s="86"/>
      <c r="M53" s="86"/>
      <c r="N53" s="86"/>
      <c r="O53" s="86"/>
      <c r="P53" s="80"/>
      <c r="Q53" s="80"/>
      <c r="R53" s="80"/>
      <c r="S53" s="80"/>
      <c r="T53" s="80"/>
      <c r="U53" s="80"/>
      <c r="V53" s="80"/>
      <c r="W53" s="107">
        <v>0.06</v>
      </c>
      <c r="X53" s="107">
        <v>8.1000000000000003E-2</v>
      </c>
      <c r="Y53" s="107">
        <v>8.5999999999999993E-2</v>
      </c>
      <c r="Z53" s="107">
        <v>0.10299999999999999</v>
      </c>
      <c r="AA53" s="107">
        <v>0.107</v>
      </c>
      <c r="AB53" s="107">
        <v>0.13500000000000001</v>
      </c>
      <c r="AC53" s="107">
        <v>0.13300000000000001</v>
      </c>
      <c r="AD53" s="107">
        <v>0.112</v>
      </c>
      <c r="AE53" s="107">
        <v>0.128</v>
      </c>
      <c r="AF53" s="107">
        <v>0.104</v>
      </c>
      <c r="AG53" s="107">
        <v>0.109</v>
      </c>
      <c r="AH53" s="107">
        <v>0.108</v>
      </c>
      <c r="AI53" s="107">
        <v>8.2000000000000003E-2</v>
      </c>
      <c r="AJ53" s="107">
        <v>7.0000000000000007E-2</v>
      </c>
      <c r="AK53" s="107">
        <v>8.9999999999999858E-2</v>
      </c>
      <c r="AL53" s="107">
        <v>2.5999999999999999E-2</v>
      </c>
      <c r="AM53" s="80"/>
      <c r="AN53" s="90"/>
      <c r="AO53" s="107"/>
      <c r="AP53" s="107"/>
      <c r="AQ53" s="80"/>
      <c r="AR53" s="80"/>
      <c r="AS53" s="80"/>
      <c r="AT53" s="86"/>
    </row>
    <row r="54" spans="2:46" s="30" customFormat="1" x14ac:dyDescent="0.55000000000000004">
      <c r="B54" s="87"/>
      <c r="C54" s="89" t="s">
        <v>331</v>
      </c>
      <c r="D54" s="86"/>
      <c r="E54" s="86"/>
      <c r="F54" s="86"/>
      <c r="G54" s="86"/>
      <c r="H54" s="86"/>
      <c r="I54" s="86"/>
      <c r="J54" s="86"/>
      <c r="K54" s="86"/>
      <c r="L54" s="86"/>
      <c r="M54" s="86"/>
      <c r="N54" s="86"/>
      <c r="O54" s="86"/>
      <c r="P54" s="80"/>
      <c r="Q54" s="80"/>
      <c r="R54" s="80"/>
      <c r="S54" s="80"/>
      <c r="T54" s="80"/>
      <c r="U54" s="80"/>
      <c r="V54" s="80"/>
      <c r="W54" s="107">
        <v>4.5999999999999999E-2</v>
      </c>
      <c r="X54" s="107">
        <v>0.06</v>
      </c>
      <c r="Y54" s="107">
        <v>2.7E-2</v>
      </c>
      <c r="Z54" s="107">
        <v>5.2999999999999999E-2</v>
      </c>
      <c r="AA54" s="107">
        <v>5.1999999999999998E-2</v>
      </c>
      <c r="AB54" s="107">
        <v>4.9000000000000002E-2</v>
      </c>
      <c r="AC54" s="107">
        <v>3.9E-2</v>
      </c>
      <c r="AD54" s="107">
        <v>3.4000000000000002E-2</v>
      </c>
      <c r="AE54" s="107">
        <v>0.03</v>
      </c>
      <c r="AF54" s="107">
        <v>2.4E-2</v>
      </c>
      <c r="AG54" s="107">
        <v>0.03</v>
      </c>
      <c r="AH54" s="107">
        <v>2.5000000000000001E-2</v>
      </c>
      <c r="AI54" s="107">
        <v>2.1999999999999999E-2</v>
      </c>
      <c r="AJ54" s="107">
        <v>1.7999999999999999E-2</v>
      </c>
      <c r="AK54" s="107">
        <v>5.0000000000000266E-2</v>
      </c>
      <c r="AL54" s="107">
        <v>8.9999999999999993E-3</v>
      </c>
      <c r="AM54" s="80"/>
      <c r="AN54" s="90"/>
      <c r="AO54" s="107"/>
      <c r="AP54" s="107"/>
      <c r="AQ54" s="80"/>
      <c r="AR54" s="80"/>
      <c r="AS54" s="80"/>
      <c r="AT54" s="86"/>
    </row>
    <row r="55" spans="2:46" s="30" customFormat="1" x14ac:dyDescent="0.55000000000000004">
      <c r="B55" s="87"/>
      <c r="C55" s="89" t="s">
        <v>332</v>
      </c>
      <c r="D55" s="86"/>
      <c r="E55" s="86"/>
      <c r="F55" s="86"/>
      <c r="G55" s="86"/>
      <c r="H55" s="86"/>
      <c r="I55" s="86"/>
      <c r="J55" s="86"/>
      <c r="K55" s="86"/>
      <c r="L55" s="86"/>
      <c r="M55" s="86"/>
      <c r="N55" s="86"/>
      <c r="O55" s="86"/>
      <c r="P55" s="80"/>
      <c r="Q55" s="80"/>
      <c r="R55" s="80"/>
      <c r="S55" s="121"/>
      <c r="T55" s="121"/>
      <c r="U55" s="121"/>
      <c r="V55" s="121"/>
      <c r="W55" s="107">
        <v>1E-3</v>
      </c>
      <c r="X55" s="107">
        <v>1E-3</v>
      </c>
      <c r="Y55" s="107">
        <v>0</v>
      </c>
      <c r="Z55" s="107">
        <v>0</v>
      </c>
      <c r="AA55" s="107">
        <v>0</v>
      </c>
      <c r="AB55" s="107">
        <v>0</v>
      </c>
      <c r="AC55" s="107">
        <v>0</v>
      </c>
      <c r="AD55" s="107">
        <v>0</v>
      </c>
      <c r="AE55" s="107">
        <v>3.0000000000000001E-3</v>
      </c>
      <c r="AF55" s="107">
        <v>0</v>
      </c>
      <c r="AG55" s="107">
        <v>0</v>
      </c>
      <c r="AH55" s="107">
        <v>0</v>
      </c>
      <c r="AI55" s="107">
        <v>0</v>
      </c>
      <c r="AJ55" s="107">
        <v>0</v>
      </c>
      <c r="AK55" s="107"/>
      <c r="AL55" s="80"/>
      <c r="AM55" s="121"/>
      <c r="AN55" s="90"/>
      <c r="AO55" s="122"/>
      <c r="AP55" s="107"/>
      <c r="AQ55" s="80"/>
      <c r="AR55" s="80"/>
      <c r="AS55" s="80"/>
      <c r="AT55" s="86"/>
    </row>
    <row r="56" spans="2:46" s="30" customFormat="1" x14ac:dyDescent="0.55000000000000004">
      <c r="B56" s="87"/>
      <c r="C56" s="89" t="s">
        <v>333</v>
      </c>
      <c r="D56" s="86"/>
      <c r="E56" s="86"/>
      <c r="F56" s="86"/>
      <c r="G56" s="86"/>
      <c r="H56" s="86"/>
      <c r="I56" s="86"/>
      <c r="J56" s="86"/>
      <c r="K56" s="86"/>
      <c r="L56" s="86"/>
      <c r="M56" s="86"/>
      <c r="N56" s="86"/>
      <c r="O56" s="86"/>
      <c r="P56" s="80"/>
      <c r="Q56" s="80"/>
      <c r="R56" s="80"/>
      <c r="S56" s="121"/>
      <c r="T56" s="121"/>
      <c r="U56" s="121"/>
      <c r="V56" s="121"/>
      <c r="W56" s="107">
        <v>4.2000000000000003E-2</v>
      </c>
      <c r="X56" s="107">
        <v>4.3999999999999997E-2</v>
      </c>
      <c r="Y56" s="107">
        <v>3.7999999999999999E-2</v>
      </c>
      <c r="Z56" s="107">
        <v>4.2999999999999997E-2</v>
      </c>
      <c r="AA56" s="107">
        <v>3.1E-2</v>
      </c>
      <c r="AB56" s="107">
        <v>3.3000000000000002E-2</v>
      </c>
      <c r="AC56" s="107">
        <v>0.03</v>
      </c>
      <c r="AD56" s="107">
        <v>8.1400000000000014E-3</v>
      </c>
      <c r="AE56" s="107">
        <v>0.02</v>
      </c>
      <c r="AF56" s="107">
        <v>0.02</v>
      </c>
      <c r="AG56" s="107">
        <v>1.6E-2</v>
      </c>
      <c r="AH56" s="107">
        <v>1.7999999999999999E-2</v>
      </c>
      <c r="AI56" s="107">
        <v>1.6E-2</v>
      </c>
      <c r="AJ56" s="107">
        <v>1.9E-2</v>
      </c>
      <c r="AK56" s="107"/>
      <c r="AL56" s="80"/>
      <c r="AM56" s="121"/>
      <c r="AN56" s="90"/>
      <c r="AO56" s="122"/>
      <c r="AP56" s="107"/>
      <c r="AQ56" s="80"/>
      <c r="AR56" s="80"/>
      <c r="AS56" s="80"/>
      <c r="AT56" s="86"/>
    </row>
    <row r="57" spans="2:46" s="30" customFormat="1" x14ac:dyDescent="0.55000000000000004">
      <c r="B57" s="87"/>
      <c r="C57" s="89" t="s">
        <v>342</v>
      </c>
      <c r="D57" s="86"/>
      <c r="E57" s="86"/>
      <c r="F57" s="86"/>
      <c r="G57" s="86"/>
      <c r="H57" s="86"/>
      <c r="I57" s="86"/>
      <c r="J57" s="86"/>
      <c r="K57" s="86"/>
      <c r="L57" s="86"/>
      <c r="M57" s="86"/>
      <c r="N57" s="86"/>
      <c r="O57" s="86"/>
      <c r="P57" s="80"/>
      <c r="Q57" s="80"/>
      <c r="R57" s="80"/>
      <c r="S57" s="80"/>
      <c r="T57" s="80"/>
      <c r="U57" s="80"/>
      <c r="V57" s="80"/>
      <c r="W57" s="107">
        <v>0.80300000000000005</v>
      </c>
      <c r="X57" s="107">
        <v>0.67400000000000004</v>
      </c>
      <c r="Y57" s="107">
        <v>0.68400000000000005</v>
      </c>
      <c r="Z57" s="107">
        <v>0.75</v>
      </c>
      <c r="AA57" s="107">
        <v>0.66700000000000004</v>
      </c>
      <c r="AB57" s="107">
        <v>0.65500000000000003</v>
      </c>
      <c r="AC57" s="107">
        <v>0.58899999999999997</v>
      </c>
      <c r="AD57" s="107">
        <v>0.48099999999999998</v>
      </c>
      <c r="AE57" s="107">
        <v>0.316</v>
      </c>
      <c r="AF57" s="107">
        <v>0.22700000000000001</v>
      </c>
      <c r="AG57" s="107">
        <v>0.23300000000000001</v>
      </c>
      <c r="AH57" s="107">
        <v>0.25</v>
      </c>
      <c r="AI57" s="107">
        <v>0.249</v>
      </c>
      <c r="AJ57" s="107">
        <v>0.23300000000000001</v>
      </c>
      <c r="AK57" s="107">
        <v>0.17999999999999972</v>
      </c>
      <c r="AL57" s="107">
        <v>0.16800000000000001</v>
      </c>
      <c r="AM57" s="80"/>
      <c r="AN57" s="90"/>
      <c r="AO57" s="107"/>
      <c r="AP57" s="107"/>
      <c r="AQ57" s="66"/>
      <c r="AR57" s="66"/>
      <c r="AS57" s="66"/>
    </row>
    <row r="58" spans="2:46" s="30" customFormat="1" x14ac:dyDescent="0.55000000000000004">
      <c r="B58" s="87"/>
      <c r="C58" s="89" t="s">
        <v>335</v>
      </c>
      <c r="D58" s="86"/>
      <c r="E58" s="86"/>
      <c r="F58" s="86"/>
      <c r="G58" s="86"/>
      <c r="H58" s="86"/>
      <c r="I58" s="86"/>
      <c r="J58" s="86"/>
      <c r="K58" s="86"/>
      <c r="L58" s="86"/>
      <c r="M58" s="86"/>
      <c r="N58" s="86"/>
      <c r="O58" s="86"/>
      <c r="P58" s="80"/>
      <c r="Q58" s="80"/>
      <c r="R58" s="80"/>
      <c r="S58" s="80"/>
      <c r="T58" s="80"/>
      <c r="U58" s="80"/>
      <c r="V58" s="80"/>
      <c r="W58" s="107">
        <v>3.4000000000000002E-2</v>
      </c>
      <c r="X58" s="107">
        <v>0</v>
      </c>
      <c r="Y58" s="107">
        <v>3.5999999999999997E-2</v>
      </c>
      <c r="Z58" s="107">
        <v>4.2999999999999997E-2</v>
      </c>
      <c r="AA58" s="107">
        <v>3.5000000000000003E-2</v>
      </c>
      <c r="AB58" s="107">
        <v>3.4000000000000002E-2</v>
      </c>
      <c r="AC58" s="107">
        <v>3.7999999999999999E-2</v>
      </c>
      <c r="AD58" s="107">
        <v>3.2000000000000001E-2</v>
      </c>
      <c r="AE58" s="107">
        <v>3.3000000000000002E-2</v>
      </c>
      <c r="AF58" s="107">
        <v>2.8000000000000001E-2</v>
      </c>
      <c r="AG58" s="107">
        <v>2.5000000000000001E-2</v>
      </c>
      <c r="AH58" s="107">
        <v>2.8000000000000001E-2</v>
      </c>
      <c r="AI58" s="107">
        <v>2.5000000000000001E-2</v>
      </c>
      <c r="AJ58" s="107">
        <v>0.02</v>
      </c>
      <c r="AK58" s="107">
        <v>2.2999999999999993E-2</v>
      </c>
      <c r="AL58" s="107">
        <v>1.0999999999999999E-2</v>
      </c>
      <c r="AM58" s="80"/>
      <c r="AN58" s="90"/>
      <c r="AO58" s="90"/>
      <c r="AP58" s="66"/>
      <c r="AQ58" s="66"/>
      <c r="AR58" s="66"/>
      <c r="AS58" s="66"/>
    </row>
    <row r="59" spans="2:46" s="30" customFormat="1" x14ac:dyDescent="0.55000000000000004">
      <c r="B59" s="87"/>
      <c r="C59" s="89" t="s">
        <v>336</v>
      </c>
      <c r="D59" s="86"/>
      <c r="E59" s="86"/>
      <c r="F59" s="86"/>
      <c r="G59" s="86"/>
      <c r="H59" s="86"/>
      <c r="I59" s="86"/>
      <c r="J59" s="86"/>
      <c r="K59" s="86"/>
      <c r="L59" s="86"/>
      <c r="M59" s="86"/>
      <c r="N59" s="86"/>
      <c r="O59" s="86"/>
      <c r="P59" s="80"/>
      <c r="Q59" s="80"/>
      <c r="R59" s="80"/>
      <c r="S59" s="80"/>
      <c r="T59" s="80"/>
      <c r="U59" s="80"/>
      <c r="V59" s="80"/>
      <c r="W59" s="107">
        <v>0.56000000000000005</v>
      </c>
      <c r="X59" s="107">
        <v>0.54900000000000004</v>
      </c>
      <c r="Y59" s="107">
        <v>0.56100000000000005</v>
      </c>
      <c r="Z59" s="107">
        <v>0.65</v>
      </c>
      <c r="AA59" s="107">
        <v>0.57099999999999995</v>
      </c>
      <c r="AB59" s="107">
        <v>0.66900000000000004</v>
      </c>
      <c r="AC59" s="107">
        <v>0.63</v>
      </c>
      <c r="AD59" s="107">
        <v>0.49199999999999999</v>
      </c>
      <c r="AE59" s="107">
        <v>0.47899999999999998</v>
      </c>
      <c r="AF59" s="107">
        <v>0.25800000000000001</v>
      </c>
      <c r="AG59" s="107">
        <v>0.20699999999999999</v>
      </c>
      <c r="AH59" s="107">
        <v>0.16900000000000001</v>
      </c>
      <c r="AI59" s="107">
        <v>0.14299999999999999</v>
      </c>
      <c r="AJ59" s="107">
        <v>0.125</v>
      </c>
      <c r="AK59" s="107">
        <v>0.1509999999999998</v>
      </c>
      <c r="AL59" s="107">
        <v>0.16300000000000001</v>
      </c>
      <c r="AM59" s="80"/>
      <c r="AN59" s="90"/>
      <c r="AO59" s="90"/>
      <c r="AP59" s="66"/>
      <c r="AQ59" s="66"/>
      <c r="AR59" s="66"/>
      <c r="AS59" s="66"/>
    </row>
    <row r="60" spans="2:46" s="30" customFormat="1" x14ac:dyDescent="0.55000000000000004">
      <c r="B60" s="87"/>
      <c r="C60" s="89" t="s">
        <v>337</v>
      </c>
      <c r="D60" s="86"/>
      <c r="E60" s="86"/>
      <c r="F60" s="86"/>
      <c r="G60" s="86"/>
      <c r="H60" s="86"/>
      <c r="I60" s="86"/>
      <c r="J60" s="86"/>
      <c r="K60" s="86"/>
      <c r="L60" s="86"/>
      <c r="M60" s="86"/>
      <c r="N60" s="86"/>
      <c r="O60" s="86"/>
      <c r="P60" s="80"/>
      <c r="Q60" s="80"/>
      <c r="R60" s="80"/>
      <c r="S60" s="121"/>
      <c r="T60" s="121"/>
      <c r="U60" s="121"/>
      <c r="V60" s="121"/>
      <c r="W60" s="107">
        <v>0.90900000000000003</v>
      </c>
      <c r="X60" s="107">
        <v>1.018</v>
      </c>
      <c r="Y60" s="107">
        <v>1.1519999999999999</v>
      </c>
      <c r="Z60" s="107">
        <v>1.196</v>
      </c>
      <c r="AA60" s="107">
        <v>1.254</v>
      </c>
      <c r="AB60" s="107">
        <v>1.208</v>
      </c>
      <c r="AC60" s="107">
        <v>1.0780000000000001</v>
      </c>
      <c r="AD60" s="107">
        <v>0.63957000000000008</v>
      </c>
      <c r="AE60" s="107">
        <v>0.69599999999999995</v>
      </c>
      <c r="AF60" s="107">
        <v>0.59499999999999997</v>
      </c>
      <c r="AG60" s="107">
        <v>0.61399999999999999</v>
      </c>
      <c r="AH60" s="107">
        <v>0.54100000000000004</v>
      </c>
      <c r="AI60" s="107">
        <v>0.48099999999999998</v>
      </c>
      <c r="AJ60" s="107">
        <v>0.53300000000000003</v>
      </c>
      <c r="AK60" s="107">
        <v>0.49899999999999878</v>
      </c>
      <c r="AL60" s="107">
        <v>0.56899999999999995</v>
      </c>
      <c r="AM60" s="121"/>
      <c r="AN60" s="90"/>
      <c r="AO60" s="127"/>
      <c r="AP60" s="66"/>
      <c r="AQ60" s="66"/>
      <c r="AR60" s="66"/>
      <c r="AS60" s="66"/>
    </row>
    <row r="61" spans="2:46" s="30" customFormat="1" x14ac:dyDescent="0.55000000000000004">
      <c r="B61" s="87"/>
      <c r="C61" s="89" t="s">
        <v>338</v>
      </c>
      <c r="D61" s="86"/>
      <c r="E61" s="86"/>
      <c r="F61" s="86"/>
      <c r="G61" s="86"/>
      <c r="H61" s="86"/>
      <c r="I61" s="86"/>
      <c r="J61" s="86"/>
      <c r="K61" s="86"/>
      <c r="L61" s="86"/>
      <c r="M61" s="86"/>
      <c r="N61" s="86"/>
      <c r="O61" s="86"/>
      <c r="P61" s="80"/>
      <c r="Q61" s="80"/>
      <c r="R61" s="80"/>
      <c r="S61" s="80"/>
      <c r="T61" s="80"/>
      <c r="U61" s="80"/>
      <c r="V61" s="80"/>
      <c r="W61" s="107">
        <v>7.5999999999999998E-2</v>
      </c>
      <c r="X61" s="107">
        <v>7.8E-2</v>
      </c>
      <c r="Y61" s="107">
        <v>9.4E-2</v>
      </c>
      <c r="Z61" s="107">
        <v>8.8999999999999996E-2</v>
      </c>
      <c r="AA61" s="107">
        <v>9.2999999999999999E-2</v>
      </c>
      <c r="AB61" s="107">
        <v>7.2999999999999995E-2</v>
      </c>
      <c r="AC61" s="107">
        <v>7.1999999999999995E-2</v>
      </c>
      <c r="AD61" s="107">
        <v>6.4000000000000001E-2</v>
      </c>
      <c r="AE61" s="107">
        <v>0.127</v>
      </c>
      <c r="AF61" s="107">
        <v>0.112</v>
      </c>
      <c r="AG61" s="107">
        <v>0.112</v>
      </c>
      <c r="AH61" s="107">
        <v>8.5000000000000006E-2</v>
      </c>
      <c r="AI61" s="107">
        <v>7.0000000000000007E-2</v>
      </c>
      <c r="AJ61" s="107">
        <v>6.9000000000000006E-2</v>
      </c>
      <c r="AK61" s="107">
        <v>0.10099999999999909</v>
      </c>
      <c r="AL61" s="107">
        <v>7.1999999999999995E-2</v>
      </c>
      <c r="AM61" s="80"/>
      <c r="AN61" s="90"/>
      <c r="AO61" s="90"/>
      <c r="AP61" s="66"/>
      <c r="AQ61" s="66"/>
      <c r="AR61" s="66"/>
      <c r="AS61" s="66"/>
    </row>
    <row r="62" spans="2:46" s="30" customFormat="1" x14ac:dyDescent="0.55000000000000004">
      <c r="B62" s="87"/>
      <c r="C62" s="89" t="s">
        <v>339</v>
      </c>
      <c r="D62" s="86"/>
      <c r="E62" s="86"/>
      <c r="F62" s="86"/>
      <c r="G62" s="86"/>
      <c r="H62" s="86"/>
      <c r="I62" s="86"/>
      <c r="J62" s="86"/>
      <c r="K62" s="86"/>
      <c r="L62" s="86"/>
      <c r="M62" s="86"/>
      <c r="N62" s="86"/>
      <c r="O62" s="86"/>
      <c r="P62" s="80"/>
      <c r="Q62" s="80"/>
      <c r="R62" s="80"/>
      <c r="S62" s="80"/>
      <c r="T62" s="80"/>
      <c r="U62" s="80"/>
      <c r="V62" s="80"/>
      <c r="W62" s="107">
        <v>0.81299999999999994</v>
      </c>
      <c r="X62" s="107">
        <v>0.86699999999999999</v>
      </c>
      <c r="Y62" s="107">
        <v>0.98499999999999999</v>
      </c>
      <c r="Z62" s="107">
        <v>1.1120000000000001</v>
      </c>
      <c r="AA62" s="107">
        <v>1.2310000000000001</v>
      </c>
      <c r="AB62" s="107">
        <v>1.093</v>
      </c>
      <c r="AC62" s="107">
        <v>1.2310000000000001</v>
      </c>
      <c r="AD62" s="107">
        <v>1.1759999999999999</v>
      </c>
      <c r="AE62" s="107">
        <v>1.0740000000000001</v>
      </c>
      <c r="AF62" s="107">
        <v>1.0109999999999999</v>
      </c>
      <c r="AG62" s="107">
        <v>1.3080000000000001</v>
      </c>
      <c r="AH62" s="107">
        <v>1.629</v>
      </c>
      <c r="AI62" s="107">
        <v>1.6739999999999999</v>
      </c>
      <c r="AJ62" s="107">
        <v>1.7</v>
      </c>
      <c r="AK62" s="107">
        <v>1.6770000000000032</v>
      </c>
      <c r="AL62" s="107">
        <v>1.599</v>
      </c>
      <c r="AM62" s="80"/>
      <c r="AN62" s="90"/>
      <c r="AO62" s="90"/>
      <c r="AP62" s="66"/>
      <c r="AQ62" s="66"/>
      <c r="AR62" s="66"/>
      <c r="AS62" s="66"/>
    </row>
    <row r="63" spans="2:46" s="30" customFormat="1" x14ac:dyDescent="0.55000000000000004">
      <c r="B63" s="87"/>
      <c r="C63" s="89" t="s">
        <v>340</v>
      </c>
      <c r="D63" s="86"/>
      <c r="E63" s="86"/>
      <c r="F63" s="86"/>
      <c r="G63" s="86"/>
      <c r="H63" s="86"/>
      <c r="I63" s="86"/>
      <c r="J63" s="86"/>
      <c r="K63" s="86"/>
      <c r="L63" s="86"/>
      <c r="M63" s="86"/>
      <c r="N63" s="86"/>
      <c r="O63" s="86"/>
      <c r="P63" s="80"/>
      <c r="Q63" s="80"/>
      <c r="R63" s="80"/>
      <c r="S63" s="80"/>
      <c r="T63" s="80"/>
      <c r="U63" s="80"/>
      <c r="V63" s="80"/>
      <c r="W63" s="107">
        <v>0.13200000000000001</v>
      </c>
      <c r="X63" s="107">
        <v>0.245</v>
      </c>
      <c r="Y63" s="107">
        <v>0.223</v>
      </c>
      <c r="Z63" s="107">
        <v>0.25700000000000001</v>
      </c>
      <c r="AA63" s="107">
        <v>0.25800000000000001</v>
      </c>
      <c r="AB63" s="107">
        <v>0.22800000000000001</v>
      </c>
      <c r="AC63" s="107">
        <v>0.23100000000000001</v>
      </c>
      <c r="AD63" s="107">
        <v>0.21</v>
      </c>
      <c r="AE63" s="107">
        <v>0.16800000000000001</v>
      </c>
      <c r="AF63" s="107">
        <v>0.157</v>
      </c>
      <c r="AG63" s="107">
        <v>0.17</v>
      </c>
      <c r="AH63" s="107">
        <v>0.185</v>
      </c>
      <c r="AI63" s="107">
        <v>0.16300000000000001</v>
      </c>
      <c r="AJ63" s="107">
        <v>0.18</v>
      </c>
      <c r="AK63" s="107">
        <v>0.22799999999999976</v>
      </c>
      <c r="AL63" s="107">
        <v>4.8000000000000001E-2</v>
      </c>
      <c r="AM63" s="80"/>
      <c r="AN63" s="90"/>
      <c r="AO63" s="90"/>
      <c r="AP63" s="66"/>
      <c r="AQ63" s="66"/>
      <c r="AR63" s="66"/>
      <c r="AS63" s="66"/>
    </row>
    <row r="64" spans="2:46" s="30" customFormat="1" x14ac:dyDescent="0.55000000000000004">
      <c r="B64" s="87"/>
      <c r="C64" s="89"/>
      <c r="D64" s="86"/>
      <c r="E64" s="86"/>
      <c r="F64" s="86"/>
      <c r="G64" s="86"/>
      <c r="H64" s="86"/>
      <c r="I64" s="86"/>
      <c r="J64" s="86"/>
      <c r="K64" s="86"/>
      <c r="L64" s="86"/>
      <c r="M64" s="86"/>
      <c r="N64" s="86"/>
      <c r="O64" s="86"/>
      <c r="P64" s="80"/>
      <c r="Q64" s="80"/>
      <c r="R64" s="80"/>
      <c r="S64" s="80"/>
      <c r="T64" s="80"/>
      <c r="U64" s="80"/>
      <c r="V64" s="80"/>
      <c r="W64" s="107"/>
      <c r="X64" s="107"/>
      <c r="Y64" s="107"/>
      <c r="Z64" s="107"/>
      <c r="AA64" s="107"/>
      <c r="AB64" s="107"/>
      <c r="AC64" s="107"/>
      <c r="AD64" s="107"/>
      <c r="AE64" s="107"/>
      <c r="AF64" s="107"/>
      <c r="AG64" s="107"/>
      <c r="AH64" s="107"/>
      <c r="AI64" s="107"/>
      <c r="AJ64" s="107"/>
      <c r="AK64" s="107"/>
      <c r="AL64" s="107"/>
      <c r="AM64" s="80"/>
      <c r="AN64" s="90"/>
      <c r="AO64" s="90"/>
      <c r="AP64" s="66"/>
      <c r="AQ64" s="66"/>
      <c r="AR64" s="66"/>
      <c r="AS64" s="66"/>
    </row>
    <row r="65" spans="1:83 16384:16384" s="210" customFormat="1" x14ac:dyDescent="0.5">
      <c r="C65" s="211" t="s">
        <v>343</v>
      </c>
      <c r="D65" s="211"/>
      <c r="E65" s="211"/>
      <c r="F65" s="211"/>
      <c r="G65" s="211"/>
      <c r="H65" s="211"/>
      <c r="I65" s="211"/>
      <c r="J65" s="211"/>
      <c r="K65" s="211"/>
      <c r="L65" s="211"/>
      <c r="M65" s="211"/>
      <c r="N65" s="211"/>
      <c r="O65" s="213"/>
      <c r="P65" s="213"/>
      <c r="Q65" s="213"/>
      <c r="R65" s="213"/>
      <c r="S65" s="213"/>
      <c r="T65" s="213"/>
      <c r="U65" s="213"/>
      <c r="V65" s="213"/>
      <c r="W65" s="213"/>
      <c r="X65" s="213"/>
      <c r="Y65" s="213"/>
      <c r="Z65" s="213"/>
      <c r="AA65" s="213"/>
      <c r="AB65" s="213"/>
      <c r="BF65" s="217"/>
    </row>
    <row r="66" spans="1:83 16384:16384" s="214" customFormat="1" x14ac:dyDescent="0.55000000000000004">
      <c r="B66" s="214" t="s">
        <v>344</v>
      </c>
      <c r="C66" s="218" t="s">
        <v>345</v>
      </c>
      <c r="Q66" s="219">
        <f t="shared" ref="Q66:AS66" si="2">Q13</f>
        <v>76.3</v>
      </c>
      <c r="R66" s="219">
        <f t="shared" si="2"/>
        <v>80.507000000000005</v>
      </c>
      <c r="S66" s="219">
        <f t="shared" si="2"/>
        <v>90.031000000000006</v>
      </c>
      <c r="T66" s="219">
        <f t="shared" si="2"/>
        <v>92.347999999999999</v>
      </c>
      <c r="U66" s="219">
        <f t="shared" si="2"/>
        <v>100.11499999999999</v>
      </c>
      <c r="V66" s="219">
        <f t="shared" si="2"/>
        <v>101.54299999999999</v>
      </c>
      <c r="W66" s="219">
        <f t="shared" si="2"/>
        <v>95.695999999999998</v>
      </c>
      <c r="X66" s="219">
        <f t="shared" si="2"/>
        <v>99.430999999999997</v>
      </c>
      <c r="Y66" s="219">
        <f t="shared" si="2"/>
        <v>98.507999999999996</v>
      </c>
      <c r="Z66" s="219">
        <f t="shared" si="2"/>
        <v>101.51900000000001</v>
      </c>
      <c r="AA66" s="219">
        <f t="shared" si="2"/>
        <v>102.221</v>
      </c>
      <c r="AB66" s="219">
        <f t="shared" si="2"/>
        <v>99.99</v>
      </c>
      <c r="AC66" s="219">
        <f t="shared" si="2"/>
        <v>99.47</v>
      </c>
      <c r="AD66" s="219">
        <f t="shared" si="2"/>
        <v>94.215999999999994</v>
      </c>
      <c r="AE66" s="219">
        <f t="shared" si="2"/>
        <v>87.5</v>
      </c>
      <c r="AF66" s="219">
        <f t="shared" si="2"/>
        <v>94.135999999999996</v>
      </c>
      <c r="AG66" s="219">
        <f t="shared" si="2"/>
        <v>94.948999999999998</v>
      </c>
      <c r="AH66" s="219">
        <f t="shared" si="2"/>
        <v>91.738</v>
      </c>
      <c r="AI66" s="219">
        <f t="shared" si="2"/>
        <v>94.691999999999993</v>
      </c>
      <c r="AJ66" s="219">
        <f t="shared" si="2"/>
        <v>108.794</v>
      </c>
      <c r="AK66" s="219">
        <f t="shared" si="2"/>
        <v>113.83499999999999</v>
      </c>
      <c r="AL66" s="219">
        <f t="shared" si="2"/>
        <v>128.815</v>
      </c>
      <c r="AM66" s="219">
        <f t="shared" si="2"/>
        <v>134.30000000000001</v>
      </c>
      <c r="AN66" s="219">
        <f t="shared" si="2"/>
        <v>149</v>
      </c>
      <c r="AO66" s="219">
        <f t="shared" si="2"/>
        <v>183.9</v>
      </c>
      <c r="AP66" s="219">
        <f t="shared" si="2"/>
        <v>204.4</v>
      </c>
      <c r="AQ66" s="219">
        <f t="shared" si="2"/>
        <v>204.6</v>
      </c>
      <c r="AR66" s="219">
        <f t="shared" si="2"/>
        <v>200.8</v>
      </c>
      <c r="AS66" s="219">
        <f t="shared" si="2"/>
        <v>201.8</v>
      </c>
      <c r="AT66" s="220">
        <f>(AS66+AU66)/2</f>
        <v>198.4</v>
      </c>
      <c r="AU66" s="219">
        <f>AU13</f>
        <v>195</v>
      </c>
      <c r="AV66" s="220">
        <f>AU66*($BC66/$AU66)^(1/8)</f>
        <v>200.1274631224681</v>
      </c>
      <c r="AW66" s="220">
        <f t="shared" ref="AW66:BB66" si="3">AV66*($BC66/$AU66)^(1/8)</f>
        <v>205.38975126069141</v>
      </c>
      <c r="AX66" s="220">
        <f t="shared" si="3"/>
        <v>210.79040959567649</v>
      </c>
      <c r="AY66" s="220">
        <f t="shared" si="3"/>
        <v>216.33307652783944</v>
      </c>
      <c r="AZ66" s="220">
        <f t="shared" si="3"/>
        <v>222.02148612818078</v>
      </c>
      <c r="BA66" s="220">
        <f t="shared" si="3"/>
        <v>227.85947065391312</v>
      </c>
      <c r="BB66" s="220">
        <f t="shared" si="3"/>
        <v>233.85096313023641</v>
      </c>
      <c r="BC66" s="221">
        <v>240</v>
      </c>
      <c r="BD66" s="220">
        <f>BC66*($BF66/$BC66)^(1/3)</f>
        <v>249.61005876622849</v>
      </c>
      <c r="BE66" s="220">
        <f>BD66*($BF66/$BC66)^(1/3)</f>
        <v>259.6049226553335</v>
      </c>
      <c r="BF66" s="219">
        <v>270</v>
      </c>
      <c r="BG66" s="220">
        <f>BF66*($BI66/$BF66)^(1/3)</f>
        <v>249.98650593832096</v>
      </c>
      <c r="BH66" s="220">
        <f>BG66*($BI66/$BF66)^(1/3)</f>
        <v>231.45649315277845</v>
      </c>
      <c r="BI66" s="219">
        <f>BI17</f>
        <v>214.3</v>
      </c>
      <c r="BJ66" s="219">
        <f>BJ17</f>
        <v>177.20000000000002</v>
      </c>
      <c r="BK66" s="219">
        <f>BK17</f>
        <v>156.70000000000002</v>
      </c>
      <c r="BL66" s="219">
        <f>BL17</f>
        <v>166.10000000000002</v>
      </c>
      <c r="BM66" s="219">
        <f>BM17</f>
        <v>149.69999999999999</v>
      </c>
      <c r="BN66" s="219">
        <f>BN17</f>
        <v>154.1</v>
      </c>
      <c r="BO66" s="219">
        <f>BO17</f>
        <v>166.5</v>
      </c>
      <c r="BP66" s="219">
        <f>BP17</f>
        <v>178</v>
      </c>
      <c r="BQ66" s="219">
        <f>BQ17</f>
        <v>191.29999999999998</v>
      </c>
      <c r="BR66" s="219">
        <f>BR17</f>
        <v>204.1</v>
      </c>
      <c r="BS66" s="219">
        <f>BS17</f>
        <v>223.79999999999995</v>
      </c>
      <c r="BT66" s="219">
        <f>BT17</f>
        <v>228.5</v>
      </c>
      <c r="BU66" s="219">
        <f>BU17</f>
        <v>243.33900000000003</v>
      </c>
      <c r="BV66" s="219">
        <f>BV17</f>
        <v>239.31900000000002</v>
      </c>
      <c r="BW66" s="219">
        <f>BW17</f>
        <v>255.55800000000002</v>
      </c>
      <c r="BX66" s="219">
        <f>BX17</f>
        <v>274.23699999999997</v>
      </c>
      <c r="BY66" s="219">
        <f>BY17</f>
        <v>259.61099999999999</v>
      </c>
      <c r="BZ66" s="219">
        <f>BZ17</f>
        <v>263.79999999999995</v>
      </c>
      <c r="CA66" s="219">
        <f>CA17</f>
        <v>274.89999999999998</v>
      </c>
      <c r="CB66" s="219">
        <f>CB17</f>
        <v>281.89999999999998</v>
      </c>
      <c r="CC66" s="219">
        <f>CC17</f>
        <v>294.3</v>
      </c>
      <c r="CD66" s="219">
        <f>CD17</f>
        <v>292.5</v>
      </c>
      <c r="CE66" s="219">
        <f>CE17</f>
        <v>300.39999999999998</v>
      </c>
    </row>
    <row r="67" spans="1:83 16384:16384" s="214" customFormat="1" x14ac:dyDescent="0.55000000000000004">
      <c r="C67" s="215" t="s">
        <v>346</v>
      </c>
      <c r="Q67" s="219"/>
      <c r="R67" s="219"/>
      <c r="S67" s="219"/>
      <c r="T67" s="219"/>
      <c r="U67" s="219"/>
      <c r="V67" s="219"/>
      <c r="W67" s="220">
        <f t="shared" ref="W67:AK67" si="4">(W50+W62)*80%</f>
        <v>7.1304000000000007</v>
      </c>
      <c r="X67" s="220">
        <f t="shared" si="4"/>
        <v>7.573599999999999</v>
      </c>
      <c r="Y67" s="220">
        <f t="shared" si="4"/>
        <v>7.347999999999999</v>
      </c>
      <c r="Z67" s="220">
        <f t="shared" si="4"/>
        <v>8.64</v>
      </c>
      <c r="AA67" s="220">
        <f t="shared" si="4"/>
        <v>9.1448</v>
      </c>
      <c r="AB67" s="220">
        <f t="shared" si="4"/>
        <v>9.3544</v>
      </c>
      <c r="AC67" s="220">
        <f t="shared" si="4"/>
        <v>9.7048000000000005</v>
      </c>
      <c r="AD67" s="220">
        <f t="shared" si="4"/>
        <v>9.0207999999999995</v>
      </c>
      <c r="AE67" s="220">
        <f t="shared" si="4"/>
        <v>9.0191999999999997</v>
      </c>
      <c r="AF67" s="220">
        <f t="shared" si="4"/>
        <v>11.2888</v>
      </c>
      <c r="AG67" s="220">
        <f t="shared" si="4"/>
        <v>11.926400000000001</v>
      </c>
      <c r="AH67" s="220">
        <f t="shared" si="4"/>
        <v>13.623200000000001</v>
      </c>
      <c r="AI67" s="220">
        <f t="shared" si="4"/>
        <v>14.619200000000001</v>
      </c>
      <c r="AJ67" s="220">
        <f t="shared" si="4"/>
        <v>16.64</v>
      </c>
      <c r="AK67" s="220">
        <f t="shared" si="4"/>
        <v>18.061600000000002</v>
      </c>
      <c r="AL67" s="219">
        <f t="shared" ref="AL67:BH67" si="5">AL35</f>
        <v>24.3</v>
      </c>
      <c r="AM67" s="219">
        <f t="shared" si="5"/>
        <v>26.443385672208315</v>
      </c>
      <c r="AN67" s="219">
        <f t="shared" si="5"/>
        <v>28.775829045644116</v>
      </c>
      <c r="AO67" s="219">
        <f t="shared" si="5"/>
        <v>31.314005987304586</v>
      </c>
      <c r="AP67" s="219">
        <f t="shared" si="5"/>
        <v>34.076063261898582</v>
      </c>
      <c r="AQ67" s="219">
        <f t="shared" si="5"/>
        <v>37.081748272631813</v>
      </c>
      <c r="AR67" s="219">
        <f t="shared" si="5"/>
        <v>40.352550245800309</v>
      </c>
      <c r="AS67" s="219">
        <f t="shared" si="5"/>
        <v>43.911853868595145</v>
      </c>
      <c r="AT67" s="219">
        <f t="shared" si="5"/>
        <v>47.785106478556138</v>
      </c>
      <c r="AU67" s="219">
        <f t="shared" si="5"/>
        <v>52</v>
      </c>
      <c r="AV67" s="219">
        <f t="shared" si="5"/>
        <v>54.731752618343528</v>
      </c>
      <c r="AW67" s="219">
        <f t="shared" si="5"/>
        <v>57.607014320683724</v>
      </c>
      <c r="AX67" s="219">
        <f t="shared" si="5"/>
        <v>60.633324170789123</v>
      </c>
      <c r="AY67" s="219">
        <f t="shared" si="5"/>
        <v>63.818617287374224</v>
      </c>
      <c r="AZ67" s="219">
        <f t="shared" si="5"/>
        <v>67.171245650332835</v>
      </c>
      <c r="BA67" s="219">
        <f t="shared" si="5"/>
        <v>70.7</v>
      </c>
      <c r="BB67" s="219">
        <f t="shared" si="5"/>
        <v>79.3</v>
      </c>
      <c r="BC67" s="219">
        <f t="shared" si="5"/>
        <v>88.199999999999989</v>
      </c>
      <c r="BD67" s="219">
        <f t="shared" si="5"/>
        <v>91.5</v>
      </c>
      <c r="BE67" s="219">
        <f t="shared" si="5"/>
        <v>97.300000000000011</v>
      </c>
      <c r="BF67" s="219">
        <f t="shared" si="5"/>
        <v>96.1</v>
      </c>
      <c r="BG67" s="219">
        <f t="shared" si="5"/>
        <v>95.9</v>
      </c>
      <c r="BH67" s="219">
        <f t="shared" si="5"/>
        <v>105.4</v>
      </c>
      <c r="BI67" s="219">
        <f>BI20</f>
        <v>116.1</v>
      </c>
      <c r="BJ67" s="219">
        <f>BJ20</f>
        <v>99.2</v>
      </c>
      <c r="BK67" s="219">
        <f>BK20</f>
        <v>92.6</v>
      </c>
      <c r="BL67" s="219">
        <f>BL20</f>
        <v>90.1</v>
      </c>
      <c r="BM67" s="219">
        <f>BM20</f>
        <v>91.4</v>
      </c>
      <c r="BN67" s="219">
        <f>BN20</f>
        <v>97.3</v>
      </c>
      <c r="BO67" s="219">
        <f>BO20</f>
        <v>104.3</v>
      </c>
      <c r="BP67" s="219">
        <f>BP20</f>
        <v>106.8</v>
      </c>
      <c r="BQ67" s="219">
        <f>BQ20</f>
        <v>118.6</v>
      </c>
      <c r="BR67" s="219">
        <f>BR20</f>
        <v>127.8</v>
      </c>
      <c r="BS67" s="219">
        <f>BS20</f>
        <v>137.1</v>
      </c>
      <c r="BT67" s="219">
        <f>BT20</f>
        <v>129.19999999999999</v>
      </c>
      <c r="BU67" s="219">
        <f>BU20</f>
        <v>139.958</v>
      </c>
      <c r="BV67" s="219">
        <f>BV20</f>
        <v>139.809</v>
      </c>
      <c r="BW67" s="219">
        <f>BW20</f>
        <v>148.67000000000002</v>
      </c>
      <c r="BX67" s="219">
        <f>BX20</f>
        <v>149.78</v>
      </c>
      <c r="BY67" s="219">
        <f>BY20</f>
        <v>149.12200000000001</v>
      </c>
      <c r="BZ67" s="219">
        <f>BZ20</f>
        <v>149.80000000000001</v>
      </c>
      <c r="CA67" s="219">
        <f>CA20</f>
        <v>156.4</v>
      </c>
      <c r="CB67" s="219">
        <f>CB20</f>
        <v>156.9</v>
      </c>
      <c r="CC67" s="219">
        <f>CC20</f>
        <v>160.6</v>
      </c>
      <c r="CD67" s="219">
        <f>CD20</f>
        <v>160.80000000000001</v>
      </c>
      <c r="CE67" s="219">
        <f>CE20</f>
        <v>165</v>
      </c>
    </row>
    <row r="68" spans="1:83 16384:16384" s="214" customFormat="1" x14ac:dyDescent="0.55000000000000004">
      <c r="A68" s="215"/>
      <c r="C68" s="218" t="s">
        <v>347</v>
      </c>
      <c r="Q68" s="219"/>
      <c r="R68" s="219"/>
      <c r="S68" s="219"/>
      <c r="T68" s="219"/>
      <c r="U68" s="219"/>
      <c r="V68" s="219"/>
      <c r="W68" s="219"/>
      <c r="X68" s="219"/>
      <c r="Y68" s="219"/>
      <c r="Z68" s="219"/>
      <c r="AA68" s="219"/>
      <c r="AB68" s="219"/>
      <c r="AC68" s="219"/>
      <c r="AD68" s="219"/>
      <c r="AE68" s="219"/>
      <c r="AF68" s="219"/>
      <c r="AG68" s="219"/>
      <c r="AH68" s="219"/>
      <c r="AI68" s="219"/>
      <c r="AJ68" s="219"/>
      <c r="AK68" s="219"/>
      <c r="AL68" s="219"/>
      <c r="AM68" s="219">
        <f t="shared" ref="AM68:BZ68" si="6">AM34</f>
        <v>6.7</v>
      </c>
      <c r="AN68" s="219">
        <f t="shared" si="6"/>
        <v>9</v>
      </c>
      <c r="AO68" s="219">
        <f t="shared" si="6"/>
        <v>10.8</v>
      </c>
      <c r="AP68" s="219">
        <f t="shared" si="6"/>
        <v>12.6</v>
      </c>
      <c r="AQ68" s="219">
        <f t="shared" si="6"/>
        <v>21</v>
      </c>
      <c r="AR68" s="219">
        <f t="shared" si="6"/>
        <v>21</v>
      </c>
      <c r="AS68" s="219">
        <f t="shared" si="6"/>
        <v>21</v>
      </c>
      <c r="AT68" s="219">
        <f t="shared" si="6"/>
        <v>21</v>
      </c>
      <c r="AU68" s="219">
        <f t="shared" si="6"/>
        <v>14.560586761363329</v>
      </c>
      <c r="AV68" s="219">
        <f t="shared" si="6"/>
        <v>10.095746992151858</v>
      </c>
      <c r="AW68" s="219">
        <f t="shared" si="6"/>
        <v>7</v>
      </c>
      <c r="AX68" s="219">
        <f t="shared" si="6"/>
        <v>7.5</v>
      </c>
      <c r="AY68" s="219">
        <f t="shared" si="6"/>
        <v>5</v>
      </c>
      <c r="AZ68" s="219">
        <f t="shared" si="6"/>
        <v>15</v>
      </c>
      <c r="BA68" s="219">
        <f t="shared" si="6"/>
        <v>18</v>
      </c>
      <c r="BB68" s="219">
        <f t="shared" si="6"/>
        <v>18</v>
      </c>
      <c r="BC68" s="219">
        <f t="shared" si="6"/>
        <v>22.46661716165552</v>
      </c>
      <c r="BD68" s="219">
        <f t="shared" si="6"/>
        <v>28.041604816021909</v>
      </c>
      <c r="BE68" s="219">
        <f t="shared" si="6"/>
        <v>35</v>
      </c>
      <c r="BF68" s="219">
        <f t="shared" si="6"/>
        <v>70</v>
      </c>
      <c r="BG68" s="219">
        <f t="shared" si="6"/>
        <v>70</v>
      </c>
      <c r="BH68" s="219">
        <f t="shared" si="6"/>
        <v>70</v>
      </c>
      <c r="BI68" s="219">
        <f t="shared" si="6"/>
        <v>70</v>
      </c>
      <c r="BJ68" s="219">
        <f t="shared" si="6"/>
        <v>60</v>
      </c>
      <c r="BK68" s="219">
        <f t="shared" si="6"/>
        <v>50</v>
      </c>
      <c r="BL68" s="219">
        <f t="shared" si="6"/>
        <v>50</v>
      </c>
      <c r="BM68" s="219">
        <f t="shared" si="6"/>
        <v>55</v>
      </c>
      <c r="BN68" s="219">
        <f t="shared" si="6"/>
        <v>40</v>
      </c>
      <c r="BO68" s="219">
        <f t="shared" si="6"/>
        <v>60</v>
      </c>
      <c r="BP68" s="219">
        <f t="shared" si="6"/>
        <v>60</v>
      </c>
      <c r="BQ68" s="219">
        <f t="shared" si="6"/>
        <v>60</v>
      </c>
      <c r="BR68" s="219">
        <f t="shared" si="6"/>
        <v>60</v>
      </c>
      <c r="BS68" s="219">
        <f t="shared" si="6"/>
        <v>60</v>
      </c>
      <c r="BT68" s="219">
        <f t="shared" si="6"/>
        <v>55</v>
      </c>
      <c r="BU68" s="219">
        <f t="shared" si="6"/>
        <v>50</v>
      </c>
      <c r="BV68" s="219">
        <f t="shared" si="6"/>
        <v>45</v>
      </c>
      <c r="BW68" s="219">
        <f t="shared" si="6"/>
        <v>45</v>
      </c>
      <c r="BX68" s="219">
        <f t="shared" si="6"/>
        <v>45</v>
      </c>
      <c r="BY68" s="219">
        <f t="shared" si="6"/>
        <v>47.5</v>
      </c>
      <c r="BZ68" s="219">
        <f t="shared" si="6"/>
        <v>50</v>
      </c>
      <c r="CA68" s="220">
        <f>(BZ68+CB68)/2</f>
        <v>47.5</v>
      </c>
      <c r="CB68" s="219">
        <f>CB34</f>
        <v>45</v>
      </c>
      <c r="CC68" s="219"/>
      <c r="CD68" s="219"/>
      <c r="CE68" s="219"/>
    </row>
    <row r="69" spans="1:83 16384:16384" s="7" customFormat="1" x14ac:dyDescent="0.5">
      <c r="A69" s="7" t="s">
        <v>62</v>
      </c>
      <c r="C69" s="8" t="s">
        <v>348</v>
      </c>
      <c r="D69" s="8"/>
    </row>
    <row r="70" spans="1:83 16384:16384" s="66" customFormat="1" x14ac:dyDescent="0.55000000000000004">
      <c r="A70" s="66" t="s">
        <v>349</v>
      </c>
      <c r="B70" s="99"/>
      <c r="C70" s="87" t="s">
        <v>350</v>
      </c>
      <c r="W70" s="68">
        <v>352.15600000000001</v>
      </c>
      <c r="X70" s="68">
        <v>393.78</v>
      </c>
      <c r="Y70" s="68">
        <v>437.96</v>
      </c>
      <c r="Z70" s="68">
        <v>490.48</v>
      </c>
      <c r="AA70" s="68">
        <v>516.4</v>
      </c>
      <c r="AB70" s="68">
        <v>544.88</v>
      </c>
      <c r="AC70" s="68">
        <v>603.14</v>
      </c>
      <c r="AD70" s="68">
        <v>623.78</v>
      </c>
      <c r="AE70" s="68">
        <v>638.94000000000005</v>
      </c>
      <c r="AF70" s="68">
        <v>712.36</v>
      </c>
      <c r="AG70" s="68">
        <v>822.22</v>
      </c>
      <c r="AH70" s="68">
        <v>901.06</v>
      </c>
      <c r="AI70" s="68">
        <v>984.94</v>
      </c>
      <c r="AJ70" s="68">
        <v>1081.1659999999999</v>
      </c>
      <c r="AK70" s="68">
        <v>1179.069</v>
      </c>
      <c r="AL70" s="68">
        <v>1344.7540000000001</v>
      </c>
      <c r="AM70" s="68">
        <f>AM71+AM74</f>
        <v>1412</v>
      </c>
      <c r="AN70" s="68">
        <f>AN71+AN74</f>
        <v>1454</v>
      </c>
      <c r="AO70" s="68">
        <f t="shared" ref="AO70:AS70" si="7">AO71+AO74</f>
        <v>1541</v>
      </c>
      <c r="AP70" s="68">
        <f t="shared" si="7"/>
        <v>1605</v>
      </c>
      <c r="AQ70" s="68">
        <f t="shared" si="7"/>
        <v>1749</v>
      </c>
      <c r="AR70" s="68">
        <f t="shared" si="7"/>
        <v>2176</v>
      </c>
      <c r="AS70" s="68">
        <f t="shared" si="7"/>
        <v>2629</v>
      </c>
      <c r="AT70" s="68"/>
      <c r="AU70" s="68"/>
      <c r="AV70" s="68"/>
      <c r="AW70" s="68"/>
      <c r="AX70" s="68"/>
      <c r="AY70" s="68"/>
      <c r="AZ70" s="68"/>
      <c r="BA70" s="68"/>
      <c r="BB70" s="68"/>
      <c r="BC70" s="68"/>
      <c r="BD70" s="68"/>
      <c r="BE70" s="68"/>
      <c r="BF70" s="68"/>
      <c r="XFD70" s="124">
        <v>0</v>
      </c>
    </row>
    <row r="71" spans="1:83 16384:16384" s="66" customFormat="1" x14ac:dyDescent="0.55000000000000004">
      <c r="A71" s="66" t="s">
        <v>349</v>
      </c>
      <c r="B71" s="99"/>
      <c r="C71" s="84" t="s">
        <v>238</v>
      </c>
      <c r="W71" s="68">
        <v>204.596</v>
      </c>
      <c r="X71" s="68">
        <v>220.9</v>
      </c>
      <c r="Y71" s="68">
        <v>252.4</v>
      </c>
      <c r="Z71" s="68">
        <v>279.45999999999998</v>
      </c>
      <c r="AA71" s="68">
        <v>296.32</v>
      </c>
      <c r="AB71" s="68">
        <v>319.36</v>
      </c>
      <c r="AC71" s="68">
        <v>339.24</v>
      </c>
      <c r="AD71" s="68">
        <v>352.22</v>
      </c>
      <c r="AE71" s="68">
        <v>375.16</v>
      </c>
      <c r="AF71" s="68">
        <v>394.04</v>
      </c>
      <c r="AG71" s="68">
        <v>483.76</v>
      </c>
      <c r="AH71" s="68">
        <v>543.28</v>
      </c>
      <c r="AI71" s="68">
        <v>599.96</v>
      </c>
      <c r="AJ71" s="68">
        <v>655.59400000000005</v>
      </c>
      <c r="AK71" s="68">
        <v>719.43399999999997</v>
      </c>
      <c r="AL71" s="68">
        <v>790.20100000000002</v>
      </c>
      <c r="AM71" s="68">
        <v>863</v>
      </c>
      <c r="AN71" s="68">
        <v>850</v>
      </c>
      <c r="AO71" s="68">
        <v>727</v>
      </c>
      <c r="AP71" s="68">
        <v>723</v>
      </c>
      <c r="AQ71" s="68">
        <v>778</v>
      </c>
      <c r="AR71" s="68">
        <v>932</v>
      </c>
      <c r="AS71" s="68">
        <v>1037</v>
      </c>
      <c r="AT71" s="68"/>
      <c r="AU71" s="68"/>
      <c r="AV71" s="68"/>
      <c r="AW71" s="68"/>
      <c r="AX71" s="68"/>
      <c r="AY71" s="68"/>
      <c r="AZ71" s="68"/>
      <c r="BA71" s="68"/>
      <c r="BB71" s="68"/>
      <c r="BC71" s="68"/>
      <c r="BD71" s="68"/>
      <c r="BE71" s="68"/>
      <c r="BF71" s="68"/>
    </row>
    <row r="72" spans="1:83 16384:16384" s="30" customFormat="1" x14ac:dyDescent="0.55000000000000004">
      <c r="A72" s="66" t="s">
        <v>349</v>
      </c>
      <c r="B72" s="87"/>
      <c r="C72" s="89" t="s">
        <v>91</v>
      </c>
      <c r="N72" s="128"/>
      <c r="O72" s="128"/>
      <c r="P72" s="128"/>
      <c r="Q72" s="128">
        <v>16.809999999999999</v>
      </c>
      <c r="R72" s="128"/>
      <c r="S72" s="128"/>
      <c r="T72" s="128"/>
      <c r="U72" s="128"/>
      <c r="V72" s="128"/>
      <c r="W72" s="68">
        <v>111.2</v>
      </c>
      <c r="X72" s="68">
        <v>122.16</v>
      </c>
      <c r="Y72" s="68">
        <v>137.38</v>
      </c>
      <c r="Z72" s="68">
        <v>139.58000000000001</v>
      </c>
      <c r="AA72" s="68">
        <v>148.78</v>
      </c>
      <c r="AB72" s="68">
        <v>165.72</v>
      </c>
      <c r="AC72" s="68">
        <v>179.92</v>
      </c>
      <c r="AD72" s="68">
        <v>197.74</v>
      </c>
      <c r="AE72" s="68">
        <v>219.66</v>
      </c>
      <c r="AF72" s="68">
        <v>236.02</v>
      </c>
      <c r="AG72" s="68">
        <v>309.36</v>
      </c>
      <c r="AH72" s="68">
        <v>354.8</v>
      </c>
      <c r="AI72" s="68">
        <v>390.18</v>
      </c>
      <c r="AJ72" s="68">
        <v>434.52</v>
      </c>
      <c r="AK72" s="68">
        <v>495.24</v>
      </c>
      <c r="AL72" s="68">
        <v>548.44000000000005</v>
      </c>
      <c r="AM72" s="59"/>
      <c r="AN72" s="59"/>
      <c r="AO72" s="59"/>
      <c r="AP72" s="59"/>
      <c r="AQ72" s="59"/>
      <c r="AR72" s="59"/>
      <c r="AS72" s="59"/>
      <c r="AT72" s="59"/>
      <c r="AU72" s="59"/>
      <c r="AV72" s="59"/>
      <c r="AW72" s="59"/>
      <c r="AX72" s="59"/>
      <c r="AY72" s="59"/>
      <c r="AZ72" s="59"/>
      <c r="BA72" s="59"/>
      <c r="BB72" s="59"/>
      <c r="BC72" s="59"/>
      <c r="BD72" s="59"/>
      <c r="BE72" s="59"/>
      <c r="BF72" s="59"/>
    </row>
    <row r="73" spans="1:83 16384:16384" s="30" customFormat="1" x14ac:dyDescent="0.55000000000000004">
      <c r="A73" s="66" t="s">
        <v>349</v>
      </c>
      <c r="B73" s="87"/>
      <c r="C73" s="89" t="s">
        <v>92</v>
      </c>
      <c r="N73" s="128"/>
      <c r="O73" s="128"/>
      <c r="P73" s="128"/>
      <c r="Q73" s="128"/>
      <c r="R73" s="128"/>
      <c r="S73" s="128"/>
      <c r="T73" s="128"/>
      <c r="U73" s="128"/>
      <c r="V73" s="128"/>
      <c r="W73" s="68">
        <v>93.396000000000001</v>
      </c>
      <c r="X73" s="68">
        <v>98.74</v>
      </c>
      <c r="Y73" s="68">
        <v>115.02</v>
      </c>
      <c r="Z73" s="68">
        <v>139.88</v>
      </c>
      <c r="AA73" s="68">
        <v>147.54</v>
      </c>
      <c r="AB73" s="68">
        <v>153.63999999999999</v>
      </c>
      <c r="AC73" s="68">
        <v>159.32</v>
      </c>
      <c r="AD73" s="68">
        <v>154.47999999999999</v>
      </c>
      <c r="AE73" s="68">
        <v>155.5</v>
      </c>
      <c r="AF73" s="68">
        <v>158.02000000000001</v>
      </c>
      <c r="AG73" s="68">
        <v>174.4</v>
      </c>
      <c r="AH73" s="68">
        <v>188.48</v>
      </c>
      <c r="AI73" s="68">
        <v>209.78</v>
      </c>
      <c r="AJ73" s="68">
        <v>221.07400000000001</v>
      </c>
      <c r="AK73" s="68">
        <v>224.19399999999999</v>
      </c>
      <c r="AL73" s="68">
        <v>241.761</v>
      </c>
      <c r="AM73" s="187"/>
      <c r="AN73" s="187"/>
      <c r="AO73" s="187"/>
      <c r="AP73" s="59"/>
      <c r="AQ73" s="59"/>
      <c r="AR73" s="59"/>
      <c r="AS73" s="59"/>
      <c r="AT73" s="59"/>
      <c r="AU73" s="59"/>
      <c r="AV73" s="59"/>
      <c r="AW73" s="59"/>
      <c r="AX73" s="59"/>
      <c r="AY73" s="59"/>
      <c r="AZ73" s="59"/>
      <c r="BA73" s="59"/>
      <c r="BB73" s="59"/>
      <c r="BC73" s="165"/>
      <c r="BD73" s="59"/>
      <c r="BE73" s="59"/>
      <c r="BF73" s="59"/>
    </row>
    <row r="74" spans="1:83 16384:16384" s="30" customFormat="1" x14ac:dyDescent="0.55000000000000004">
      <c r="A74" s="66" t="s">
        <v>349</v>
      </c>
      <c r="B74" s="87"/>
      <c r="C74" s="84" t="s">
        <v>93</v>
      </c>
      <c r="N74" s="128"/>
      <c r="O74" s="128"/>
      <c r="P74" s="128"/>
      <c r="Q74" s="128"/>
      <c r="R74" s="128"/>
      <c r="S74" s="128"/>
      <c r="T74" s="128"/>
      <c r="U74" s="128"/>
      <c r="V74" s="128"/>
      <c r="W74" s="68">
        <v>147.56</v>
      </c>
      <c r="X74" s="68">
        <v>172.88</v>
      </c>
      <c r="Y74" s="68">
        <v>185.56</v>
      </c>
      <c r="Z74" s="68">
        <v>211.02</v>
      </c>
      <c r="AA74" s="68">
        <v>220.08</v>
      </c>
      <c r="AB74" s="68">
        <v>225.52</v>
      </c>
      <c r="AC74" s="68">
        <v>263.89999999999998</v>
      </c>
      <c r="AD74" s="68">
        <v>271.56</v>
      </c>
      <c r="AE74" s="68">
        <v>263.77999999999997</v>
      </c>
      <c r="AF74" s="68">
        <v>318.32</v>
      </c>
      <c r="AG74" s="68">
        <v>338.46</v>
      </c>
      <c r="AH74" s="68">
        <v>357.78</v>
      </c>
      <c r="AI74" s="68">
        <v>384.98</v>
      </c>
      <c r="AJ74" s="68">
        <v>425.572</v>
      </c>
      <c r="AK74" s="68">
        <v>459.63499999999999</v>
      </c>
      <c r="AL74" s="68">
        <v>554.553</v>
      </c>
      <c r="AM74" s="68">
        <v>549</v>
      </c>
      <c r="AN74" s="68">
        <v>604</v>
      </c>
      <c r="AO74" s="68">
        <v>814</v>
      </c>
      <c r="AP74" s="68">
        <v>882</v>
      </c>
      <c r="AQ74" s="68">
        <v>971</v>
      </c>
      <c r="AR74" s="68">
        <v>1244</v>
      </c>
      <c r="AS74" s="68">
        <v>1592</v>
      </c>
      <c r="AT74" s="59"/>
      <c r="AU74" s="59"/>
      <c r="AV74" s="59"/>
      <c r="AW74" s="59"/>
      <c r="AX74" s="59"/>
      <c r="AY74" s="59"/>
      <c r="AZ74" s="59"/>
      <c r="BA74" s="59"/>
      <c r="BB74" s="59"/>
      <c r="BC74" s="59"/>
      <c r="BD74" s="59"/>
      <c r="BE74" s="59"/>
      <c r="BF74" s="59"/>
    </row>
    <row r="75" spans="1:83 16384:16384" s="30" customFormat="1" x14ac:dyDescent="0.55000000000000004">
      <c r="A75" s="66" t="s">
        <v>349</v>
      </c>
      <c r="B75" s="87"/>
      <c r="C75" s="89" t="s">
        <v>94</v>
      </c>
      <c r="N75" s="128"/>
      <c r="O75" s="128"/>
      <c r="P75" s="128"/>
      <c r="Q75" s="128">
        <v>27.04</v>
      </c>
      <c r="R75" s="128"/>
      <c r="S75" s="128"/>
      <c r="T75" s="128"/>
      <c r="U75" s="128"/>
      <c r="V75" s="128"/>
      <c r="W75" s="68">
        <v>91.7</v>
      </c>
      <c r="X75" s="68">
        <v>109.68</v>
      </c>
      <c r="Y75" s="68">
        <v>114.98</v>
      </c>
      <c r="Z75" s="68">
        <v>129.94</v>
      </c>
      <c r="AA75" s="68">
        <v>135.18</v>
      </c>
      <c r="AB75" s="68">
        <v>147.22</v>
      </c>
      <c r="AC75" s="68">
        <v>166.98</v>
      </c>
      <c r="AD75" s="68">
        <v>184.72</v>
      </c>
      <c r="AE75" s="68">
        <v>191.78</v>
      </c>
      <c r="AF75" s="68">
        <v>259.82</v>
      </c>
      <c r="AG75" s="68">
        <v>270.2</v>
      </c>
      <c r="AH75" s="68">
        <v>283.02</v>
      </c>
      <c r="AI75" s="68">
        <v>310.89999999999998</v>
      </c>
      <c r="AJ75" s="68">
        <v>358.38</v>
      </c>
      <c r="AK75" s="68">
        <v>394.9</v>
      </c>
      <c r="AL75" s="68">
        <v>491.23500000000001</v>
      </c>
      <c r="AM75" s="174">
        <v>480.98379310344802</v>
      </c>
      <c r="AN75" s="174">
        <v>533.23117479191444</v>
      </c>
      <c r="AO75" s="174">
        <v>728.37236716552536</v>
      </c>
      <c r="AP75" s="59"/>
      <c r="AQ75" s="59"/>
      <c r="AR75" s="59"/>
      <c r="AS75" s="59"/>
      <c r="AT75" s="59"/>
      <c r="AU75" s="59"/>
      <c r="AV75" s="59"/>
      <c r="AW75" s="59"/>
      <c r="AX75" s="59"/>
      <c r="AY75" s="59"/>
      <c r="AZ75" s="59"/>
      <c r="BA75" s="59"/>
      <c r="BB75" s="59"/>
      <c r="BC75" s="59"/>
      <c r="BD75" s="59"/>
      <c r="BE75" s="59"/>
      <c r="BF75" s="59"/>
    </row>
    <row r="76" spans="1:83 16384:16384" s="30" customFormat="1" x14ac:dyDescent="0.55000000000000004">
      <c r="A76" s="66" t="s">
        <v>349</v>
      </c>
      <c r="B76" s="87"/>
      <c r="C76" s="89" t="s">
        <v>95</v>
      </c>
      <c r="N76" s="128"/>
      <c r="O76" s="128"/>
      <c r="P76" s="128"/>
      <c r="Q76" s="129"/>
      <c r="R76" s="128"/>
      <c r="S76" s="128"/>
      <c r="T76" s="128"/>
      <c r="U76" s="128"/>
      <c r="V76" s="128"/>
      <c r="W76" s="68">
        <v>55.86</v>
      </c>
      <c r="X76" s="68">
        <v>63.2</v>
      </c>
      <c r="Y76" s="68">
        <v>70.58</v>
      </c>
      <c r="Z76" s="68">
        <v>81.08</v>
      </c>
      <c r="AA76" s="68">
        <v>84.9</v>
      </c>
      <c r="AB76" s="68">
        <v>78.3</v>
      </c>
      <c r="AC76" s="68">
        <v>96.92</v>
      </c>
      <c r="AD76" s="68">
        <v>86.84</v>
      </c>
      <c r="AE76" s="68">
        <v>72</v>
      </c>
      <c r="AF76" s="68">
        <v>58.5</v>
      </c>
      <c r="AG76" s="68">
        <v>68.260000000000005</v>
      </c>
      <c r="AH76" s="68">
        <v>74.760000000000005</v>
      </c>
      <c r="AI76" s="68">
        <v>74.08</v>
      </c>
      <c r="AJ76" s="68">
        <v>67.191999999999965</v>
      </c>
      <c r="AK76" s="68">
        <v>64.734999999999999</v>
      </c>
      <c r="AL76" s="68">
        <v>63.317999999999998</v>
      </c>
      <c r="AM76" s="174">
        <v>68.016206896551736</v>
      </c>
      <c r="AN76" s="174">
        <v>71.76882520808563</v>
      </c>
      <c r="AO76" s="174">
        <v>85.627632834474582</v>
      </c>
      <c r="AP76" s="59"/>
      <c r="AQ76" s="59"/>
      <c r="AR76" s="59"/>
      <c r="AS76" s="59"/>
      <c r="AT76" s="59"/>
      <c r="AU76" s="59"/>
      <c r="AV76" s="59"/>
      <c r="AW76" s="59"/>
      <c r="AX76" s="59"/>
      <c r="AY76" s="59"/>
      <c r="AZ76" s="59"/>
      <c r="BA76" s="59"/>
      <c r="BB76" s="59"/>
      <c r="BC76" s="59"/>
      <c r="BD76" s="59"/>
      <c r="BE76" s="59"/>
      <c r="BF76" s="59"/>
    </row>
    <row r="77" spans="1:83 16384:16384" s="7" customFormat="1" x14ac:dyDescent="0.5">
      <c r="A77" s="7" t="s">
        <v>62</v>
      </c>
      <c r="C77" s="8" t="s">
        <v>351</v>
      </c>
      <c r="D77" s="8"/>
      <c r="E77" s="8"/>
      <c r="F77" s="8"/>
      <c r="G77" s="8"/>
      <c r="H77" s="8"/>
      <c r="I77" s="8"/>
      <c r="J77" s="8"/>
      <c r="K77" s="8"/>
      <c r="L77" s="8"/>
      <c r="M77" s="8"/>
      <c r="N77" s="8"/>
      <c r="O77" s="9"/>
      <c r="P77" s="9"/>
      <c r="Q77" s="9"/>
      <c r="R77" s="9"/>
      <c r="S77" s="9"/>
      <c r="T77" s="9"/>
      <c r="U77" s="9"/>
      <c r="V77" s="9"/>
      <c r="W77" s="9"/>
      <c r="X77" s="9"/>
      <c r="Y77" s="9"/>
      <c r="Z77" s="9"/>
      <c r="AA77" s="9"/>
      <c r="AB77" s="9"/>
    </row>
    <row r="78" spans="1:83 16384:16384" s="30" customFormat="1" x14ac:dyDescent="0.55000000000000004">
      <c r="A78" s="66" t="s">
        <v>349</v>
      </c>
      <c r="B78" s="130"/>
      <c r="C78" s="87" t="s">
        <v>326</v>
      </c>
      <c r="P78" s="66"/>
      <c r="Q78" s="66"/>
      <c r="R78" s="66"/>
      <c r="S78" s="66"/>
      <c r="T78" s="66"/>
      <c r="U78" s="90"/>
      <c r="V78" s="90"/>
      <c r="W78" s="90">
        <v>143.49959999999999</v>
      </c>
      <c r="X78" s="90">
        <v>170.76</v>
      </c>
      <c r="Y78" s="90">
        <v>185.5</v>
      </c>
      <c r="Z78" s="90">
        <v>209.04</v>
      </c>
      <c r="AA78" s="90">
        <v>218.28</v>
      </c>
      <c r="AB78" s="90">
        <v>232.66</v>
      </c>
      <c r="AC78" s="90">
        <v>261.82</v>
      </c>
      <c r="AD78" s="90">
        <v>270.16000000000003</v>
      </c>
      <c r="AE78" s="90">
        <v>262.52</v>
      </c>
      <c r="AF78" s="90">
        <v>302.89999999999998</v>
      </c>
      <c r="AG78" s="90">
        <v>338.58</v>
      </c>
      <c r="AH78" s="90">
        <v>356.66</v>
      </c>
      <c r="AI78" s="90">
        <v>383.78</v>
      </c>
      <c r="AJ78" s="90">
        <v>423.20699999999999</v>
      </c>
      <c r="AK78" s="90">
        <v>457.17700000000002</v>
      </c>
      <c r="AL78" s="90">
        <v>551.70000000000005</v>
      </c>
      <c r="AM78" s="90">
        <v>549.26900000000001</v>
      </c>
      <c r="AN78" s="90">
        <v>603</v>
      </c>
      <c r="AO78" s="90">
        <v>814</v>
      </c>
      <c r="AP78" s="90">
        <v>847</v>
      </c>
      <c r="AQ78" s="90">
        <v>971</v>
      </c>
      <c r="AR78" s="90">
        <v>1290</v>
      </c>
      <c r="AS78" s="66"/>
    </row>
    <row r="79" spans="1:83 16384:16384" s="30" customFormat="1" x14ac:dyDescent="0.55000000000000004">
      <c r="B79" s="130"/>
      <c r="C79" s="84" t="s">
        <v>327</v>
      </c>
      <c r="P79" s="66"/>
      <c r="Q79" s="66"/>
      <c r="R79" s="66"/>
      <c r="S79" s="66"/>
      <c r="T79" s="66"/>
      <c r="U79" s="90"/>
      <c r="V79" s="90"/>
      <c r="W79" s="90">
        <v>89.447999999999993</v>
      </c>
      <c r="X79" s="90">
        <v>107.56</v>
      </c>
      <c r="Y79" s="90">
        <v>113.1</v>
      </c>
      <c r="Z79" s="90">
        <v>127.96</v>
      </c>
      <c r="AA79" s="90">
        <v>133.44</v>
      </c>
      <c r="AB79" s="90">
        <v>145.52000000000001</v>
      </c>
      <c r="AC79" s="90">
        <v>164.86</v>
      </c>
      <c r="AD79" s="90">
        <v>183.32</v>
      </c>
      <c r="AE79" s="90">
        <v>190.54</v>
      </c>
      <c r="AF79" s="90">
        <v>244.38</v>
      </c>
      <c r="AG79" s="90">
        <v>270.3</v>
      </c>
      <c r="AH79" s="90">
        <v>281.89999999999998</v>
      </c>
      <c r="AI79" s="90">
        <v>309.68</v>
      </c>
      <c r="AJ79" s="90">
        <v>356.88400000000001</v>
      </c>
      <c r="AK79" s="90">
        <v>392.44200000000001</v>
      </c>
      <c r="AL79" s="90">
        <v>488.38200000000001</v>
      </c>
      <c r="AM79" s="90"/>
      <c r="AN79" s="90"/>
      <c r="AO79" s="90"/>
      <c r="AP79" s="66"/>
      <c r="AQ79" s="66"/>
      <c r="AR79" s="66"/>
      <c r="AS79" s="66"/>
    </row>
    <row r="80" spans="1:83 16384:16384" s="30" customFormat="1" x14ac:dyDescent="0.55000000000000004">
      <c r="B80" s="87"/>
      <c r="C80" s="84" t="s">
        <v>328</v>
      </c>
      <c r="P80" s="66"/>
      <c r="Q80" s="66"/>
      <c r="R80" s="66"/>
      <c r="S80" s="66"/>
      <c r="T80" s="66"/>
      <c r="U80" s="90"/>
      <c r="V80" s="90"/>
      <c r="W80" s="90">
        <v>54.051600000000001</v>
      </c>
      <c r="X80" s="90">
        <v>63.2</v>
      </c>
      <c r="Y80" s="90">
        <v>72.400000000000006</v>
      </c>
      <c r="Z80" s="90">
        <v>81.08</v>
      </c>
      <c r="AA80" s="90">
        <v>84.84</v>
      </c>
      <c r="AB80" s="90">
        <v>87.14</v>
      </c>
      <c r="AC80" s="90">
        <v>96.96</v>
      </c>
      <c r="AD80" s="90">
        <v>86.84</v>
      </c>
      <c r="AE80" s="90">
        <v>71.98</v>
      </c>
      <c r="AF80" s="90">
        <v>58.52</v>
      </c>
      <c r="AG80" s="90">
        <v>68.28</v>
      </c>
      <c r="AH80" s="90">
        <v>74.760000000000005</v>
      </c>
      <c r="AI80" s="90">
        <v>74.099999999999994</v>
      </c>
      <c r="AJ80" s="90">
        <v>66.322999999999993</v>
      </c>
      <c r="AK80" s="90">
        <v>64.735000000000014</v>
      </c>
      <c r="AL80" s="90">
        <v>63.317999999999998</v>
      </c>
      <c r="AM80" s="90"/>
      <c r="AN80" s="90"/>
      <c r="AO80" s="90"/>
      <c r="AP80" s="66"/>
      <c r="AQ80" s="66"/>
      <c r="AR80" s="66"/>
      <c r="AS80" s="66"/>
    </row>
    <row r="81" spans="2:64" s="30" customFormat="1" x14ac:dyDescent="0.55000000000000004">
      <c r="B81" s="87"/>
      <c r="C81" s="125" t="s">
        <v>352</v>
      </c>
      <c r="P81" s="66"/>
      <c r="Q81" s="66"/>
      <c r="R81" s="66"/>
      <c r="S81" s="66"/>
      <c r="T81" s="66"/>
      <c r="U81" s="90"/>
      <c r="V81" s="90"/>
      <c r="W81" s="90"/>
      <c r="X81" s="90"/>
      <c r="Y81" s="90"/>
      <c r="Z81" s="90"/>
      <c r="AA81" s="90"/>
      <c r="AB81" s="90"/>
      <c r="AC81" s="90"/>
      <c r="AD81" s="90"/>
      <c r="AE81" s="90"/>
      <c r="AF81" s="115"/>
      <c r="AG81" s="90"/>
      <c r="AH81" s="90"/>
      <c r="AI81" s="90"/>
      <c r="AJ81" s="90"/>
      <c r="AK81" s="90"/>
      <c r="AL81" s="90"/>
      <c r="AM81" s="90"/>
      <c r="AN81" s="90"/>
      <c r="AO81" s="90"/>
      <c r="AP81" s="66"/>
      <c r="AQ81" s="66"/>
      <c r="AR81" s="66"/>
      <c r="AS81" s="66"/>
    </row>
    <row r="82" spans="2:64" s="30" customFormat="1" x14ac:dyDescent="0.55000000000000004">
      <c r="B82" s="87"/>
      <c r="C82" s="89" t="s">
        <v>330</v>
      </c>
      <c r="F82" s="86"/>
      <c r="G82" s="86"/>
      <c r="H82" s="86"/>
      <c r="I82" s="86"/>
      <c r="J82" s="86"/>
      <c r="K82" s="86"/>
      <c r="L82" s="86"/>
      <c r="M82" s="86"/>
      <c r="N82" s="86"/>
      <c r="O82" s="86"/>
      <c r="P82" s="80"/>
      <c r="Q82" s="80"/>
      <c r="R82" s="80"/>
      <c r="S82" s="80"/>
      <c r="T82" s="80"/>
      <c r="U82" s="80"/>
      <c r="V82" s="80"/>
      <c r="W82" s="90">
        <v>3.1079999999999997</v>
      </c>
      <c r="X82" s="90">
        <v>3.8</v>
      </c>
      <c r="Y82" s="90">
        <v>4.66</v>
      </c>
      <c r="Z82" s="90">
        <v>4.68</v>
      </c>
      <c r="AA82" s="90">
        <v>5.7</v>
      </c>
      <c r="AB82" s="90">
        <v>5.8</v>
      </c>
      <c r="AC82" s="90">
        <v>6.58</v>
      </c>
      <c r="AD82" s="90">
        <v>7.8</v>
      </c>
      <c r="AE82" s="90">
        <v>9.7200000000000006</v>
      </c>
      <c r="AF82" s="90">
        <v>10.82</v>
      </c>
      <c r="AG82" s="90">
        <v>13.46</v>
      </c>
      <c r="AH82" s="90">
        <v>17.14</v>
      </c>
      <c r="AI82" s="90">
        <v>15.78</v>
      </c>
      <c r="AJ82" s="90">
        <v>21.71</v>
      </c>
      <c r="AK82" s="90">
        <v>24.545999999999999</v>
      </c>
      <c r="AL82" s="90">
        <v>27.957000000000001</v>
      </c>
      <c r="AM82" s="126">
        <v>24.356000000000002</v>
      </c>
      <c r="AN82" s="90">
        <v>46</v>
      </c>
      <c r="AO82" s="90">
        <v>58</v>
      </c>
      <c r="AP82" s="90">
        <v>60</v>
      </c>
      <c r="AQ82" s="90">
        <v>58</v>
      </c>
      <c r="AR82" s="90">
        <v>90</v>
      </c>
      <c r="AS82" s="80"/>
      <c r="AT82" s="86"/>
      <c r="AU82" s="86"/>
      <c r="AV82" s="86"/>
      <c r="AW82" s="86"/>
      <c r="AX82" s="86"/>
      <c r="AY82" s="86"/>
    </row>
    <row r="83" spans="2:64" s="30" customFormat="1" x14ac:dyDescent="0.55000000000000004">
      <c r="B83" s="87"/>
      <c r="C83" s="89" t="s">
        <v>331</v>
      </c>
      <c r="F83" s="86"/>
      <c r="G83" s="86"/>
      <c r="H83" s="86"/>
      <c r="I83" s="86"/>
      <c r="J83" s="86"/>
      <c r="K83" s="86"/>
      <c r="L83" s="86"/>
      <c r="M83" s="86"/>
      <c r="N83" s="86"/>
      <c r="O83" s="86"/>
      <c r="P83" s="80"/>
      <c r="Q83" s="80"/>
      <c r="R83" s="80"/>
      <c r="S83" s="80"/>
      <c r="T83" s="80"/>
      <c r="U83" s="80"/>
      <c r="V83" s="80"/>
      <c r="W83" s="90">
        <v>2.3279999999999998</v>
      </c>
      <c r="X83" s="90">
        <v>3.4</v>
      </c>
      <c r="Y83" s="90">
        <v>2.92</v>
      </c>
      <c r="Z83" s="90">
        <v>3.24</v>
      </c>
      <c r="AA83" s="90">
        <v>3.04</v>
      </c>
      <c r="AB83" s="90">
        <v>3.58</v>
      </c>
      <c r="AC83" s="90">
        <v>3.8</v>
      </c>
      <c r="AD83" s="90">
        <v>4.92</v>
      </c>
      <c r="AE83" s="90">
        <v>4.74</v>
      </c>
      <c r="AF83" s="90">
        <v>5.84</v>
      </c>
      <c r="AG83" s="90">
        <v>6.22</v>
      </c>
      <c r="AH83" s="90">
        <v>5.82</v>
      </c>
      <c r="AI83" s="90">
        <v>7.5</v>
      </c>
      <c r="AJ83" s="90">
        <v>7.6289999999999996</v>
      </c>
      <c r="AK83" s="90">
        <v>6.383</v>
      </c>
      <c r="AL83" s="90">
        <v>8.81</v>
      </c>
      <c r="AM83" s="126">
        <v>9.5719999999999992</v>
      </c>
      <c r="AN83" s="90"/>
      <c r="AO83" s="90"/>
      <c r="AP83" s="90"/>
      <c r="AQ83" s="90"/>
      <c r="AR83" s="90"/>
      <c r="AS83" s="80"/>
      <c r="AT83" s="86"/>
      <c r="AU83" s="86"/>
      <c r="AV83" s="86"/>
      <c r="AW83" s="86"/>
      <c r="AX83" s="86"/>
      <c r="AY83" s="86"/>
    </row>
    <row r="84" spans="2:64" s="30" customFormat="1" x14ac:dyDescent="0.55000000000000004">
      <c r="B84" s="87"/>
      <c r="C84" s="89" t="s">
        <v>332</v>
      </c>
      <c r="F84" s="86"/>
      <c r="G84" s="86"/>
      <c r="H84" s="86"/>
      <c r="I84" s="86"/>
      <c r="J84" s="86"/>
      <c r="K84" s="86"/>
      <c r="L84" s="86"/>
      <c r="M84" s="86"/>
      <c r="N84" s="86"/>
      <c r="O84" s="86"/>
      <c r="P84" s="80"/>
      <c r="Q84" s="80"/>
      <c r="R84" s="80"/>
      <c r="S84" s="121"/>
      <c r="T84" s="121"/>
      <c r="U84" s="121"/>
      <c r="V84" s="121"/>
      <c r="W84" s="90">
        <v>0.06</v>
      </c>
      <c r="X84" s="90">
        <v>0.06</v>
      </c>
      <c r="Y84" s="90">
        <v>0.04</v>
      </c>
      <c r="Z84" s="90">
        <v>0.14000000000000001</v>
      </c>
      <c r="AA84" s="90">
        <v>0.18</v>
      </c>
      <c r="AB84" s="90">
        <v>0.18</v>
      </c>
      <c r="AC84" s="90">
        <v>0.46</v>
      </c>
      <c r="AD84" s="90">
        <v>0.12</v>
      </c>
      <c r="AE84" s="90">
        <v>0.12</v>
      </c>
      <c r="AF84" s="90">
        <v>0.12</v>
      </c>
      <c r="AG84" s="90">
        <v>0.1</v>
      </c>
      <c r="AH84" s="90">
        <v>0.16</v>
      </c>
      <c r="AI84" s="90">
        <v>0.16</v>
      </c>
      <c r="AJ84" s="90">
        <v>0.152</v>
      </c>
      <c r="AK84" s="90">
        <v>0.16200000000000001</v>
      </c>
      <c r="AL84" s="90">
        <v>9.1999999999999998E-2</v>
      </c>
      <c r="AM84" s="126">
        <v>0.29899999999999999</v>
      </c>
      <c r="AN84" s="108"/>
      <c r="AO84" s="108"/>
      <c r="AP84" s="108"/>
      <c r="AQ84" s="90"/>
      <c r="AR84" s="90"/>
      <c r="AS84" s="80"/>
      <c r="AT84" s="86"/>
      <c r="AU84" s="86"/>
      <c r="AV84" s="86"/>
      <c r="AW84" s="86"/>
      <c r="AX84" s="86"/>
      <c r="AY84" s="86"/>
    </row>
    <row r="85" spans="2:64" s="30" customFormat="1" x14ac:dyDescent="0.55000000000000004">
      <c r="B85" s="87"/>
      <c r="C85" s="89" t="s">
        <v>333</v>
      </c>
      <c r="F85" s="86"/>
      <c r="G85" s="86"/>
      <c r="H85" s="86"/>
      <c r="I85" s="86"/>
      <c r="J85" s="86"/>
      <c r="K85" s="86"/>
      <c r="L85" s="86"/>
      <c r="M85" s="86"/>
      <c r="N85" s="86"/>
      <c r="O85" s="86"/>
      <c r="P85" s="80"/>
      <c r="Q85" s="80"/>
      <c r="R85" s="80"/>
      <c r="S85" s="121"/>
      <c r="T85" s="121"/>
      <c r="U85" s="121"/>
      <c r="V85" s="121"/>
      <c r="W85" s="90">
        <v>0.80400000000000005</v>
      </c>
      <c r="X85" s="90">
        <v>0.72</v>
      </c>
      <c r="Y85" s="90">
        <v>0.84</v>
      </c>
      <c r="Z85" s="90">
        <v>0.78</v>
      </c>
      <c r="AA85" s="90">
        <v>0.82</v>
      </c>
      <c r="AB85" s="90">
        <v>0.84</v>
      </c>
      <c r="AC85" s="90">
        <v>0.88</v>
      </c>
      <c r="AD85" s="90">
        <v>0.82</v>
      </c>
      <c r="AE85" s="90">
        <v>0.9</v>
      </c>
      <c r="AF85" s="90">
        <v>0.9</v>
      </c>
      <c r="AG85" s="90">
        <v>1.1599999999999999</v>
      </c>
      <c r="AH85" s="90">
        <v>1.24</v>
      </c>
      <c r="AI85" s="90">
        <v>1.46</v>
      </c>
      <c r="AJ85" s="90">
        <v>1.6479999999999999</v>
      </c>
      <c r="AK85" s="90">
        <v>2.0680000000000001</v>
      </c>
      <c r="AL85" s="90">
        <v>1.774</v>
      </c>
      <c r="AM85" s="126">
        <v>2.4319999999999999</v>
      </c>
      <c r="AN85" s="90">
        <v>2</v>
      </c>
      <c r="AO85" s="90">
        <v>3</v>
      </c>
      <c r="AP85" s="90">
        <v>2</v>
      </c>
      <c r="AQ85" s="90">
        <v>3</v>
      </c>
      <c r="AR85" s="90">
        <v>3</v>
      </c>
      <c r="AS85" s="80"/>
      <c r="AT85" s="86"/>
      <c r="AU85" s="86"/>
      <c r="AV85" s="86"/>
      <c r="AW85" s="86"/>
      <c r="AX85" s="86"/>
      <c r="AY85" s="86"/>
    </row>
    <row r="86" spans="2:64" s="30" customFormat="1" x14ac:dyDescent="0.55000000000000004">
      <c r="B86" s="87"/>
      <c r="C86" s="89" t="s">
        <v>342</v>
      </c>
      <c r="F86" s="86"/>
      <c r="G86" s="86"/>
      <c r="H86" s="86"/>
      <c r="I86" s="86"/>
      <c r="J86" s="86"/>
      <c r="K86" s="86"/>
      <c r="L86" s="86"/>
      <c r="M86" s="86"/>
      <c r="N86" s="86"/>
      <c r="O86" s="86"/>
      <c r="P86" s="80"/>
      <c r="Q86" s="80"/>
      <c r="R86" s="80"/>
      <c r="S86" s="80"/>
      <c r="T86" s="80"/>
      <c r="U86" s="80"/>
      <c r="V86" s="80"/>
      <c r="W86" s="90">
        <v>18.756</v>
      </c>
      <c r="X86" s="90">
        <v>24.8</v>
      </c>
      <c r="Y86" s="90">
        <v>17.46</v>
      </c>
      <c r="Z86" s="90">
        <v>20.36</v>
      </c>
      <c r="AA86" s="90">
        <v>18.52</v>
      </c>
      <c r="AB86" s="90">
        <v>19.82</v>
      </c>
      <c r="AC86" s="90">
        <v>23.1</v>
      </c>
      <c r="AD86" s="90">
        <v>29.36</v>
      </c>
      <c r="AE86" s="90">
        <v>31.1</v>
      </c>
      <c r="AF86" s="90">
        <v>31.56</v>
      </c>
      <c r="AG86" s="90">
        <v>41.82</v>
      </c>
      <c r="AH86" s="90">
        <v>41.04</v>
      </c>
      <c r="AI86" s="90">
        <v>46.22</v>
      </c>
      <c r="AJ86" s="90">
        <v>56.405000000000001</v>
      </c>
      <c r="AK86" s="90">
        <v>51.420999999999999</v>
      </c>
      <c r="AL86" s="90">
        <v>76.117999999999995</v>
      </c>
      <c r="AM86" s="126">
        <v>75.44</v>
      </c>
      <c r="AN86" s="90">
        <v>67</v>
      </c>
      <c r="AO86" s="90">
        <v>72</v>
      </c>
      <c r="AP86" s="90">
        <v>102</v>
      </c>
      <c r="AQ86" s="90">
        <v>87</v>
      </c>
      <c r="AR86" s="90">
        <v>145</v>
      </c>
      <c r="AS86" s="80"/>
      <c r="AT86" s="86"/>
      <c r="AU86" s="86"/>
      <c r="AV86" s="86"/>
      <c r="AW86" s="86"/>
      <c r="AX86" s="86"/>
      <c r="AY86" s="86"/>
    </row>
    <row r="87" spans="2:64" s="30" customFormat="1" x14ac:dyDescent="0.55000000000000004">
      <c r="B87" s="87"/>
      <c r="C87" s="89" t="s">
        <v>335</v>
      </c>
      <c r="F87" s="86"/>
      <c r="G87" s="86"/>
      <c r="H87" s="86"/>
      <c r="I87" s="86"/>
      <c r="J87" s="86"/>
      <c r="K87" s="86"/>
      <c r="L87" s="86"/>
      <c r="M87" s="86"/>
      <c r="N87" s="86"/>
      <c r="O87" s="86"/>
      <c r="P87" s="80"/>
      <c r="Q87" s="80"/>
      <c r="R87" s="80"/>
      <c r="S87" s="80"/>
      <c r="T87" s="80"/>
      <c r="U87" s="80"/>
      <c r="V87" s="80"/>
      <c r="W87" s="90">
        <v>0.42</v>
      </c>
      <c r="X87" s="90">
        <v>0</v>
      </c>
      <c r="Y87" s="90">
        <v>0.86</v>
      </c>
      <c r="Z87" s="90">
        <v>1.5</v>
      </c>
      <c r="AA87" s="90">
        <v>1.24</v>
      </c>
      <c r="AB87" s="90">
        <v>1.18</v>
      </c>
      <c r="AC87" s="90">
        <v>0.96</v>
      </c>
      <c r="AD87" s="90">
        <v>1.04</v>
      </c>
      <c r="AE87" s="90">
        <v>0.38</v>
      </c>
      <c r="AF87" s="90">
        <v>0.34</v>
      </c>
      <c r="AG87" s="90">
        <v>0.34</v>
      </c>
      <c r="AH87" s="90">
        <v>0.36</v>
      </c>
      <c r="AI87" s="90">
        <v>0.34</v>
      </c>
      <c r="AJ87" s="90">
        <v>0.28999999999999998</v>
      </c>
      <c r="AK87" s="90">
        <v>0.42299999999999999</v>
      </c>
      <c r="AL87" s="90">
        <v>0.44800000000000001</v>
      </c>
      <c r="AM87" s="126">
        <v>0.218</v>
      </c>
      <c r="AN87" s="90"/>
      <c r="AO87" s="90"/>
      <c r="AP87" s="90"/>
      <c r="AQ87" s="90"/>
      <c r="AR87" s="90"/>
      <c r="AS87" s="80"/>
      <c r="AT87" s="86"/>
      <c r="AU87" s="86"/>
      <c r="AV87" s="86"/>
      <c r="AW87" s="86"/>
      <c r="AX87" s="86"/>
      <c r="AY87" s="86"/>
    </row>
    <row r="88" spans="2:64" s="30" customFormat="1" x14ac:dyDescent="0.55000000000000004">
      <c r="B88" s="87"/>
      <c r="C88" s="89" t="s">
        <v>336</v>
      </c>
      <c r="F88" s="86"/>
      <c r="G88" s="86"/>
      <c r="H88" s="86"/>
      <c r="I88" s="86"/>
      <c r="J88" s="86"/>
      <c r="K88" s="86"/>
      <c r="L88" s="86"/>
      <c r="M88" s="86"/>
      <c r="N88" s="86"/>
      <c r="O88" s="86"/>
      <c r="P88" s="80"/>
      <c r="Q88" s="80"/>
      <c r="R88" s="80"/>
      <c r="S88" s="80"/>
      <c r="T88" s="80"/>
      <c r="U88" s="80"/>
      <c r="V88" s="80"/>
      <c r="W88" s="90">
        <v>10.08</v>
      </c>
      <c r="X88" s="90">
        <v>10.44</v>
      </c>
      <c r="Y88" s="90">
        <v>13.76</v>
      </c>
      <c r="Z88" s="90">
        <v>14.3</v>
      </c>
      <c r="AA88" s="90">
        <v>14.3</v>
      </c>
      <c r="AB88" s="90">
        <v>15.56</v>
      </c>
      <c r="AC88" s="90">
        <v>15.68</v>
      </c>
      <c r="AD88" s="90">
        <v>15.5</v>
      </c>
      <c r="AE88" s="90">
        <v>17.579999999999998</v>
      </c>
      <c r="AF88" s="90">
        <v>17.399999999999999</v>
      </c>
      <c r="AG88" s="90">
        <v>22.9</v>
      </c>
      <c r="AH88" s="90">
        <v>22.26</v>
      </c>
      <c r="AI88" s="90">
        <v>26.48</v>
      </c>
      <c r="AJ88" s="90">
        <v>28.347999999999999</v>
      </c>
      <c r="AK88" s="90">
        <v>30.847999999999999</v>
      </c>
      <c r="AL88" s="90">
        <v>36.764000000000003</v>
      </c>
      <c r="AM88" s="126">
        <v>46.273000000000003</v>
      </c>
      <c r="AN88" s="90">
        <v>47</v>
      </c>
      <c r="AO88" s="90">
        <v>54</v>
      </c>
      <c r="AP88" s="90">
        <v>73</v>
      </c>
      <c r="AQ88" s="90">
        <v>77</v>
      </c>
      <c r="AR88" s="90">
        <v>122</v>
      </c>
      <c r="AS88" s="80"/>
      <c r="AT88" s="86"/>
      <c r="AU88" s="86"/>
      <c r="AV88" s="86"/>
      <c r="AW88" s="86"/>
      <c r="AX88" s="86"/>
      <c r="AY88" s="86"/>
    </row>
    <row r="89" spans="2:64" s="30" customFormat="1" x14ac:dyDescent="0.55000000000000004">
      <c r="B89" s="87"/>
      <c r="C89" s="89" t="s">
        <v>337</v>
      </c>
      <c r="F89" s="86"/>
      <c r="G89" s="86"/>
      <c r="H89" s="86"/>
      <c r="I89" s="86"/>
      <c r="J89" s="86"/>
      <c r="K89" s="86"/>
      <c r="L89" s="86"/>
      <c r="M89" s="86"/>
      <c r="N89" s="86"/>
      <c r="O89" s="86"/>
      <c r="P89" s="80"/>
      <c r="Q89" s="80"/>
      <c r="R89" s="80"/>
      <c r="S89" s="121"/>
      <c r="T89" s="121"/>
      <c r="U89" s="121"/>
      <c r="V89" s="121"/>
      <c r="W89" s="90">
        <v>16.608000000000001</v>
      </c>
      <c r="X89" s="90">
        <v>19.88</v>
      </c>
      <c r="Y89" s="90">
        <v>21.58</v>
      </c>
      <c r="Z89" s="90">
        <v>25.02</v>
      </c>
      <c r="AA89" s="90">
        <v>26.86</v>
      </c>
      <c r="AB89" s="90">
        <v>28.7</v>
      </c>
      <c r="AC89" s="90">
        <v>34.1</v>
      </c>
      <c r="AD89" s="90">
        <v>43.6</v>
      </c>
      <c r="AE89" s="90">
        <v>46.34</v>
      </c>
      <c r="AF89" s="90">
        <v>70.36</v>
      </c>
      <c r="AG89" s="90">
        <v>72.56</v>
      </c>
      <c r="AH89" s="90">
        <v>79.099999999999994</v>
      </c>
      <c r="AI89" s="90">
        <v>87.54</v>
      </c>
      <c r="AJ89" s="90">
        <v>93.531999999999996</v>
      </c>
      <c r="AK89" s="90">
        <v>107.223</v>
      </c>
      <c r="AL89" s="90">
        <v>135.14500000000001</v>
      </c>
      <c r="AM89" s="126">
        <v>219.03</v>
      </c>
      <c r="AN89" s="90">
        <v>283</v>
      </c>
      <c r="AO89" s="90">
        <v>349</v>
      </c>
      <c r="AP89" s="90">
        <v>310</v>
      </c>
      <c r="AQ89" s="90">
        <v>746</v>
      </c>
      <c r="AR89" s="90">
        <v>930</v>
      </c>
      <c r="AS89" s="80"/>
      <c r="AT89" s="86"/>
      <c r="AU89" s="86"/>
      <c r="AV89" s="86"/>
      <c r="AW89" s="86"/>
      <c r="AX89" s="86"/>
      <c r="AY89" s="86"/>
    </row>
    <row r="90" spans="2:64" s="30" customFormat="1" x14ac:dyDescent="0.55000000000000004">
      <c r="B90" s="87"/>
      <c r="C90" s="89" t="s">
        <v>338</v>
      </c>
      <c r="F90" s="86"/>
      <c r="G90" s="86"/>
      <c r="H90" s="86"/>
      <c r="I90" s="86"/>
      <c r="J90" s="86"/>
      <c r="K90" s="86"/>
      <c r="L90" s="86"/>
      <c r="M90" s="86"/>
      <c r="N90" s="86"/>
      <c r="O90" s="86"/>
      <c r="P90" s="80"/>
      <c r="Q90" s="80"/>
      <c r="R90" s="80"/>
      <c r="S90" s="80"/>
      <c r="T90" s="80"/>
      <c r="U90" s="80"/>
      <c r="V90" s="80"/>
      <c r="W90" s="90">
        <v>21.888000000000002</v>
      </c>
      <c r="X90" s="90">
        <v>28.46</v>
      </c>
      <c r="Y90" s="90">
        <v>32.94</v>
      </c>
      <c r="Z90" s="90">
        <v>35.28</v>
      </c>
      <c r="AA90" s="90">
        <v>38.9</v>
      </c>
      <c r="AB90" s="90">
        <v>41.02</v>
      </c>
      <c r="AC90" s="90">
        <v>44.68</v>
      </c>
      <c r="AD90" s="90">
        <v>44.06</v>
      </c>
      <c r="AE90" s="90">
        <v>42.76</v>
      </c>
      <c r="AF90" s="90">
        <v>53.84</v>
      </c>
      <c r="AG90" s="90">
        <v>54.84</v>
      </c>
      <c r="AH90" s="90">
        <v>44.6</v>
      </c>
      <c r="AI90" s="90">
        <v>44.52</v>
      </c>
      <c r="AJ90" s="90">
        <v>54.902000000000001</v>
      </c>
      <c r="AK90" s="90">
        <v>60.548999999999999</v>
      </c>
      <c r="AL90" s="90">
        <v>73.308999999999997</v>
      </c>
      <c r="AM90" s="126"/>
      <c r="AN90" s="90"/>
      <c r="AO90" s="90"/>
      <c r="AP90" s="90"/>
      <c r="AQ90" s="90"/>
      <c r="AR90" s="90"/>
      <c r="AS90" s="80"/>
      <c r="AT90" s="86"/>
      <c r="AU90" s="86"/>
      <c r="AV90" s="86"/>
      <c r="AW90" s="86"/>
      <c r="AX90" s="86"/>
      <c r="AY90" s="86"/>
    </row>
    <row r="91" spans="2:64" s="30" customFormat="1" x14ac:dyDescent="0.55000000000000004">
      <c r="B91" s="87"/>
      <c r="C91" s="89" t="s">
        <v>339</v>
      </c>
      <c r="F91" s="86"/>
      <c r="G91" s="86"/>
      <c r="H91" s="86"/>
      <c r="I91" s="86"/>
      <c r="J91" s="86"/>
      <c r="K91" s="86"/>
      <c r="L91" s="86"/>
      <c r="M91" s="86"/>
      <c r="N91" s="86"/>
      <c r="O91" s="86"/>
      <c r="P91" s="80"/>
      <c r="Q91" s="80"/>
      <c r="R91" s="80"/>
      <c r="S91" s="80"/>
      <c r="T91" s="80"/>
      <c r="U91" s="80"/>
      <c r="V91" s="80"/>
      <c r="W91" s="90">
        <v>12.276</v>
      </c>
      <c r="X91" s="90">
        <v>11.82</v>
      </c>
      <c r="Y91" s="90">
        <v>14.12</v>
      </c>
      <c r="Z91" s="90">
        <v>17.440000000000001</v>
      </c>
      <c r="AA91" s="90">
        <v>18.3</v>
      </c>
      <c r="AB91" s="90">
        <v>22.62</v>
      </c>
      <c r="AC91" s="90">
        <v>27.28</v>
      </c>
      <c r="AD91" s="90">
        <v>27.94</v>
      </c>
      <c r="AE91" s="90">
        <v>29.18</v>
      </c>
      <c r="AF91" s="90">
        <v>40.840000000000003</v>
      </c>
      <c r="AG91" s="90">
        <v>42.4</v>
      </c>
      <c r="AH91" s="90">
        <v>53.02</v>
      </c>
      <c r="AI91" s="90">
        <v>62.02</v>
      </c>
      <c r="AJ91" s="90">
        <v>71.153999999999996</v>
      </c>
      <c r="AK91" s="90">
        <v>82.763999999999996</v>
      </c>
      <c r="AL91" s="90">
        <v>114.453</v>
      </c>
      <c r="AM91" s="126">
        <v>165.26300000000001</v>
      </c>
      <c r="AN91" s="90">
        <v>158</v>
      </c>
      <c r="AO91" s="90">
        <v>278</v>
      </c>
      <c r="AP91" s="90">
        <v>300</v>
      </c>
      <c r="AQ91" s="90"/>
      <c r="AR91" s="90"/>
      <c r="AS91" s="80"/>
      <c r="AT91" s="86"/>
      <c r="AU91" s="86"/>
      <c r="AV91" s="86"/>
      <c r="AW91" s="86"/>
      <c r="AX91" s="86"/>
      <c r="AY91" s="86"/>
      <c r="AZ91" s="86"/>
      <c r="BA91" s="86"/>
      <c r="BB91" s="86"/>
      <c r="BC91" s="86"/>
      <c r="BD91" s="86"/>
      <c r="BE91" s="86"/>
      <c r="BF91" s="86"/>
      <c r="BG91" s="86"/>
      <c r="BH91" s="86"/>
      <c r="BI91" s="86"/>
      <c r="BJ91" s="86"/>
      <c r="BK91" s="86"/>
      <c r="BL91" s="86"/>
    </row>
    <row r="92" spans="2:64" s="30" customFormat="1" x14ac:dyDescent="0.55000000000000004">
      <c r="B92" s="87"/>
      <c r="C92" s="89" t="s">
        <v>340</v>
      </c>
      <c r="F92" s="86"/>
      <c r="G92" s="86"/>
      <c r="H92" s="86"/>
      <c r="I92" s="86"/>
      <c r="J92" s="86"/>
      <c r="K92" s="86"/>
      <c r="L92" s="86"/>
      <c r="M92" s="86"/>
      <c r="N92" s="86"/>
      <c r="O92" s="86"/>
      <c r="P92" s="80"/>
      <c r="Q92" s="80"/>
      <c r="R92" s="80"/>
      <c r="S92" s="80"/>
      <c r="T92" s="80"/>
      <c r="U92" s="80"/>
      <c r="V92" s="80"/>
      <c r="W92" s="90">
        <v>3.12</v>
      </c>
      <c r="X92" s="90">
        <v>4.18</v>
      </c>
      <c r="Y92" s="90">
        <v>3.92</v>
      </c>
      <c r="Z92" s="90">
        <v>5.22</v>
      </c>
      <c r="AA92" s="90">
        <v>5.58</v>
      </c>
      <c r="AB92" s="90">
        <v>6.22</v>
      </c>
      <c r="AC92" s="90">
        <v>7.34</v>
      </c>
      <c r="AD92" s="90">
        <v>8.16</v>
      </c>
      <c r="AE92" s="90">
        <v>7.72</v>
      </c>
      <c r="AF92" s="90">
        <v>12.36</v>
      </c>
      <c r="AG92" s="90">
        <v>14.5</v>
      </c>
      <c r="AH92" s="90">
        <v>17.16</v>
      </c>
      <c r="AI92" s="90">
        <v>17.66</v>
      </c>
      <c r="AJ92" s="90">
        <v>21.114000000000001</v>
      </c>
      <c r="AK92" s="90">
        <v>26.055</v>
      </c>
      <c r="AL92" s="90">
        <v>13.512</v>
      </c>
      <c r="AM92" s="126">
        <v>6.3860000000000001</v>
      </c>
      <c r="AN92" s="90"/>
      <c r="AO92" s="90"/>
      <c r="AP92" s="90"/>
      <c r="AQ92" s="90"/>
      <c r="AR92" s="90"/>
      <c r="AS92" s="80"/>
      <c r="AT92" s="86"/>
      <c r="AU92" s="86"/>
      <c r="AV92" s="86"/>
      <c r="AW92" s="86"/>
      <c r="AX92" s="86"/>
      <c r="AY92" s="86"/>
      <c r="AZ92" s="86"/>
      <c r="BA92" s="86"/>
      <c r="BB92" s="86"/>
      <c r="BC92" s="86"/>
      <c r="BD92" s="86"/>
      <c r="BE92" s="86"/>
      <c r="BF92" s="86"/>
      <c r="BG92" s="86"/>
      <c r="BH92" s="86"/>
      <c r="BI92" s="86"/>
      <c r="BJ92" s="86"/>
      <c r="BK92" s="86"/>
      <c r="BL92" s="86"/>
    </row>
    <row r="93" spans="2:64" s="30" customFormat="1" x14ac:dyDescent="0.55000000000000004">
      <c r="B93" s="87"/>
      <c r="C93" s="125" t="s">
        <v>353</v>
      </c>
      <c r="F93" s="86"/>
      <c r="G93" s="86"/>
      <c r="H93" s="86"/>
      <c r="I93" s="86"/>
      <c r="J93" s="86"/>
      <c r="K93" s="86"/>
      <c r="L93" s="86"/>
      <c r="M93" s="86"/>
      <c r="N93" s="86"/>
      <c r="O93" s="86"/>
      <c r="P93" s="80"/>
      <c r="Q93" s="80"/>
      <c r="R93" s="80"/>
      <c r="S93" s="80"/>
      <c r="T93" s="80"/>
      <c r="U93" s="80"/>
      <c r="V93" s="80"/>
      <c r="W93" s="90"/>
      <c r="X93" s="90"/>
      <c r="Y93" s="90"/>
      <c r="Z93" s="90"/>
      <c r="AA93" s="90"/>
      <c r="AB93" s="90"/>
      <c r="AC93" s="90"/>
      <c r="AD93" s="90"/>
      <c r="AE93" s="90"/>
      <c r="AF93" s="90"/>
      <c r="AG93" s="90"/>
      <c r="AH93" s="90"/>
      <c r="AI93" s="90"/>
      <c r="AJ93" s="90"/>
      <c r="AK93" s="90"/>
      <c r="AL93" s="90"/>
      <c r="AM93" s="80"/>
      <c r="AN93" s="80"/>
      <c r="AO93" s="80"/>
      <c r="AP93" s="80"/>
      <c r="AQ93" s="80"/>
      <c r="AR93" s="80"/>
      <c r="AS93" s="80"/>
      <c r="AT93" s="86"/>
      <c r="AU93" s="86"/>
      <c r="AV93" s="86"/>
      <c r="AW93" s="86"/>
      <c r="AX93" s="86"/>
      <c r="AY93" s="86"/>
      <c r="AZ93" s="86"/>
      <c r="BA93" s="86"/>
      <c r="BB93" s="86"/>
      <c r="BC93" s="86"/>
      <c r="BD93" s="86"/>
      <c r="BE93" s="86"/>
      <c r="BF93" s="86"/>
      <c r="BG93" s="86"/>
      <c r="BH93" s="86"/>
      <c r="BI93" s="86"/>
      <c r="BJ93" s="86"/>
      <c r="BK93" s="86"/>
      <c r="BL93" s="86"/>
    </row>
    <row r="94" spans="2:64" s="30" customFormat="1" x14ac:dyDescent="0.55000000000000004">
      <c r="B94" s="87"/>
      <c r="C94" s="89" t="s">
        <v>330</v>
      </c>
      <c r="F94" s="86"/>
      <c r="G94" s="86"/>
      <c r="H94" s="86"/>
      <c r="I94" s="86"/>
      <c r="J94" s="86"/>
      <c r="K94" s="86"/>
      <c r="L94" s="86"/>
      <c r="M94" s="86"/>
      <c r="N94" s="86"/>
      <c r="O94" s="86"/>
      <c r="P94" s="80"/>
      <c r="Q94" s="80"/>
      <c r="R94" s="80"/>
      <c r="S94" s="80"/>
      <c r="T94" s="80"/>
      <c r="U94" s="80"/>
      <c r="V94" s="80"/>
      <c r="W94" s="80">
        <v>1.2396</v>
      </c>
      <c r="X94" s="80">
        <v>1.72</v>
      </c>
      <c r="Y94" s="80">
        <v>2.02</v>
      </c>
      <c r="Z94" s="80">
        <v>2.72</v>
      </c>
      <c r="AA94" s="80">
        <v>2.64</v>
      </c>
      <c r="AB94" s="80">
        <v>3.3</v>
      </c>
      <c r="AC94" s="80">
        <v>4.12</v>
      </c>
      <c r="AD94" s="80">
        <v>3.3</v>
      </c>
      <c r="AE94" s="80">
        <v>3.78</v>
      </c>
      <c r="AF94" s="80">
        <v>2.84</v>
      </c>
      <c r="AG94" s="80">
        <v>2.68</v>
      </c>
      <c r="AH94" s="80">
        <v>3.28</v>
      </c>
      <c r="AI94" s="80">
        <v>2.84</v>
      </c>
      <c r="AJ94" s="80">
        <v>1.736</v>
      </c>
      <c r="AK94" s="80">
        <v>1.3740000000000001</v>
      </c>
      <c r="AL94" s="80">
        <v>0.54500000000000004</v>
      </c>
      <c r="AM94" s="80"/>
      <c r="AN94" s="80"/>
      <c r="AO94" s="80"/>
      <c r="AP94" s="80"/>
      <c r="AQ94" s="80"/>
      <c r="AR94" s="80"/>
      <c r="AS94" s="80"/>
      <c r="AT94" s="86"/>
      <c r="AU94" s="86"/>
      <c r="AV94" s="86"/>
      <c r="AW94" s="86"/>
      <c r="AX94" s="86"/>
      <c r="AY94" s="86"/>
      <c r="AZ94" s="86"/>
      <c r="BA94" s="86"/>
      <c r="BB94" s="86"/>
      <c r="BC94" s="86"/>
      <c r="BD94" s="86"/>
      <c r="BE94" s="86"/>
      <c r="BF94" s="86"/>
      <c r="BG94" s="86"/>
      <c r="BH94" s="86"/>
      <c r="BI94" s="86"/>
      <c r="BJ94" s="86"/>
      <c r="BK94" s="86"/>
      <c r="BL94" s="86"/>
    </row>
    <row r="95" spans="2:64" s="30" customFormat="1" x14ac:dyDescent="0.55000000000000004">
      <c r="B95" s="87"/>
      <c r="C95" s="89" t="s">
        <v>331</v>
      </c>
      <c r="F95" s="86"/>
      <c r="G95" s="86"/>
      <c r="H95" s="86"/>
      <c r="I95" s="86"/>
      <c r="J95" s="86"/>
      <c r="K95" s="86"/>
      <c r="L95" s="86"/>
      <c r="M95" s="86"/>
      <c r="N95" s="86"/>
      <c r="O95" s="86"/>
      <c r="P95" s="80"/>
      <c r="Q95" s="80"/>
      <c r="R95" s="80"/>
      <c r="S95" s="80"/>
      <c r="T95" s="80"/>
      <c r="U95" s="80"/>
      <c r="V95" s="80"/>
      <c r="W95" s="80">
        <v>0.88800000000000012</v>
      </c>
      <c r="X95" s="80">
        <v>1.22</v>
      </c>
      <c r="Y95" s="80">
        <v>0.86</v>
      </c>
      <c r="Z95" s="80">
        <v>1.18</v>
      </c>
      <c r="AA95" s="80">
        <v>1.28</v>
      </c>
      <c r="AB95" s="80">
        <v>1.22</v>
      </c>
      <c r="AC95" s="80">
        <v>1.2</v>
      </c>
      <c r="AD95" s="80">
        <v>1.1399999999999999</v>
      </c>
      <c r="AE95" s="80">
        <v>0.9</v>
      </c>
      <c r="AF95" s="80">
        <v>0.68</v>
      </c>
      <c r="AG95" s="80">
        <v>0.88</v>
      </c>
      <c r="AH95" s="80">
        <v>0.7</v>
      </c>
      <c r="AI95" s="80">
        <v>0.64</v>
      </c>
      <c r="AJ95" s="80">
        <v>0.46600000000000003</v>
      </c>
      <c r="AK95" s="80">
        <v>0.38400000000000001</v>
      </c>
      <c r="AL95" s="80">
        <v>0.23</v>
      </c>
      <c r="AM95" s="80"/>
      <c r="AN95" s="80"/>
      <c r="AO95" s="80"/>
      <c r="AP95" s="80"/>
      <c r="AQ95" s="80"/>
      <c r="AR95" s="80"/>
      <c r="AS95" s="80"/>
      <c r="AT95" s="86"/>
      <c r="AU95" s="86"/>
      <c r="AV95" s="86"/>
      <c r="AW95" s="86"/>
      <c r="AX95" s="86"/>
      <c r="AY95" s="86"/>
      <c r="AZ95" s="86"/>
      <c r="BA95" s="86"/>
      <c r="BB95" s="86"/>
      <c r="BC95" s="86"/>
      <c r="BD95" s="86"/>
      <c r="BE95" s="86"/>
      <c r="BF95" s="86"/>
      <c r="BG95" s="86"/>
      <c r="BH95" s="86"/>
      <c r="BI95" s="86"/>
      <c r="BJ95" s="86"/>
      <c r="BK95" s="86"/>
      <c r="BL95" s="86"/>
    </row>
    <row r="96" spans="2:64" s="30" customFormat="1" x14ac:dyDescent="0.55000000000000004">
      <c r="B96" s="87"/>
      <c r="C96" s="89" t="s">
        <v>332</v>
      </c>
      <c r="F96" s="86"/>
      <c r="G96" s="86"/>
      <c r="H96" s="86"/>
      <c r="I96" s="86"/>
      <c r="J96" s="86"/>
      <c r="K96" s="86"/>
      <c r="L96" s="86"/>
      <c r="M96" s="86"/>
      <c r="N96" s="86"/>
      <c r="O96" s="86"/>
      <c r="P96" s="80"/>
      <c r="Q96" s="80"/>
      <c r="R96" s="80"/>
      <c r="S96" s="121"/>
      <c r="T96" s="121"/>
      <c r="U96" s="121"/>
      <c r="V96" s="121"/>
      <c r="W96" s="80">
        <v>1.2000000000000002E-2</v>
      </c>
      <c r="X96" s="80">
        <v>0.02</v>
      </c>
      <c r="Y96" s="80">
        <v>0</v>
      </c>
      <c r="Z96" s="80">
        <v>0</v>
      </c>
      <c r="AA96" s="80">
        <v>0</v>
      </c>
      <c r="AB96" s="80">
        <v>0.08</v>
      </c>
      <c r="AC96" s="80">
        <v>0.1</v>
      </c>
      <c r="AD96" s="107"/>
      <c r="AE96" s="107"/>
      <c r="AF96" s="107"/>
      <c r="AG96" s="107"/>
      <c r="AH96" s="107"/>
      <c r="AI96" s="107"/>
      <c r="AJ96" s="107"/>
      <c r="AK96" s="107"/>
      <c r="AL96" s="107"/>
      <c r="AM96" s="121"/>
      <c r="AN96" s="121"/>
      <c r="AO96" s="121"/>
      <c r="AP96" s="80"/>
      <c r="AQ96" s="80"/>
      <c r="AR96" s="80"/>
      <c r="AS96" s="80"/>
      <c r="AT96" s="86"/>
      <c r="AU96" s="86"/>
      <c r="AV96" s="86"/>
      <c r="AW96" s="86"/>
      <c r="AX96" s="86"/>
      <c r="AY96" s="86"/>
      <c r="AZ96" s="86"/>
      <c r="BA96" s="86"/>
      <c r="BB96" s="86"/>
      <c r="BC96" s="86"/>
      <c r="BD96" s="86"/>
      <c r="BE96" s="86"/>
      <c r="BF96" s="86"/>
      <c r="BG96" s="86"/>
      <c r="BH96" s="86"/>
      <c r="BI96" s="86"/>
      <c r="BJ96" s="86"/>
      <c r="BK96" s="86"/>
      <c r="BL96" s="86"/>
    </row>
    <row r="97" spans="1:84" s="30" customFormat="1" x14ac:dyDescent="0.55000000000000004">
      <c r="B97" s="87"/>
      <c r="C97" s="89" t="s">
        <v>333</v>
      </c>
      <c r="F97" s="86"/>
      <c r="G97" s="86"/>
      <c r="H97" s="86"/>
      <c r="I97" s="86"/>
      <c r="J97" s="86"/>
      <c r="K97" s="86"/>
      <c r="L97" s="86"/>
      <c r="M97" s="86"/>
      <c r="N97" s="86"/>
      <c r="O97" s="86"/>
      <c r="P97" s="80"/>
      <c r="Q97" s="80"/>
      <c r="R97" s="80"/>
      <c r="S97" s="121"/>
      <c r="T97" s="121"/>
      <c r="U97" s="121"/>
      <c r="V97" s="121"/>
      <c r="W97" s="80">
        <v>0.69599999999999995</v>
      </c>
      <c r="X97" s="80">
        <v>0.8</v>
      </c>
      <c r="Y97" s="80">
        <v>0.76</v>
      </c>
      <c r="Z97" s="80">
        <v>0.9</v>
      </c>
      <c r="AA97" s="80">
        <v>0.7</v>
      </c>
      <c r="AB97" s="80">
        <v>0.74</v>
      </c>
      <c r="AC97" s="80">
        <v>0.72</v>
      </c>
      <c r="AD97" s="80">
        <v>0.64</v>
      </c>
      <c r="AE97" s="80">
        <v>0.57999999999999996</v>
      </c>
      <c r="AF97" s="80">
        <v>0.57999999999999996</v>
      </c>
      <c r="AG97" s="80">
        <v>0.48</v>
      </c>
      <c r="AH97" s="80">
        <v>0.57999999999999996</v>
      </c>
      <c r="AI97" s="80">
        <v>0.54</v>
      </c>
      <c r="AJ97" s="80">
        <v>0.55900000000000005</v>
      </c>
      <c r="AK97" s="80">
        <v>0.378</v>
      </c>
      <c r="AL97" s="80">
        <v>0.36599999999999999</v>
      </c>
      <c r="AM97" s="121"/>
      <c r="AN97" s="121"/>
      <c r="AO97" s="121"/>
      <c r="AP97" s="80"/>
      <c r="AQ97" s="80"/>
      <c r="AR97" s="80"/>
      <c r="AS97" s="80"/>
      <c r="AT97" s="86"/>
      <c r="AU97" s="86"/>
      <c r="AV97" s="86"/>
      <c r="AW97" s="86"/>
      <c r="AX97" s="86"/>
      <c r="AY97" s="86"/>
      <c r="AZ97" s="86"/>
      <c r="BA97" s="86"/>
      <c r="BB97" s="86"/>
      <c r="BC97" s="86"/>
      <c r="BD97" s="86"/>
      <c r="BE97" s="86"/>
      <c r="BF97" s="86"/>
      <c r="BG97" s="86"/>
      <c r="BH97" s="86"/>
      <c r="BI97" s="86"/>
      <c r="BJ97" s="86"/>
      <c r="BK97" s="86"/>
      <c r="BL97" s="86"/>
    </row>
    <row r="98" spans="1:84" s="30" customFormat="1" x14ac:dyDescent="0.55000000000000004">
      <c r="B98" s="87"/>
      <c r="C98" s="89" t="s">
        <v>342</v>
      </c>
      <c r="F98" s="86"/>
      <c r="G98" s="86"/>
      <c r="H98" s="86"/>
      <c r="I98" s="86"/>
      <c r="J98" s="86"/>
      <c r="K98" s="86"/>
      <c r="L98" s="86"/>
      <c r="M98" s="86"/>
      <c r="N98" s="86"/>
      <c r="O98" s="86"/>
      <c r="P98" s="80"/>
      <c r="Q98" s="80"/>
      <c r="R98" s="80"/>
      <c r="S98" s="80"/>
      <c r="T98" s="80"/>
      <c r="U98" s="80"/>
      <c r="V98" s="80"/>
      <c r="W98" s="80">
        <v>4.782</v>
      </c>
      <c r="X98" s="80">
        <v>10.02</v>
      </c>
      <c r="Y98" s="80">
        <v>10.56</v>
      </c>
      <c r="Z98" s="80">
        <v>11.96</v>
      </c>
      <c r="AA98" s="80">
        <v>10.92</v>
      </c>
      <c r="AB98" s="80">
        <v>11.4</v>
      </c>
      <c r="AC98" s="80">
        <v>12.48</v>
      </c>
      <c r="AD98" s="80">
        <v>11</v>
      </c>
      <c r="AE98" s="80">
        <v>6.98</v>
      </c>
      <c r="AF98" s="80">
        <v>4.7</v>
      </c>
      <c r="AG98" s="80">
        <v>5.2</v>
      </c>
      <c r="AH98" s="80">
        <v>5.86</v>
      </c>
      <c r="AI98" s="80">
        <v>5.94</v>
      </c>
      <c r="AJ98" s="80">
        <v>4.9619999999999997</v>
      </c>
      <c r="AK98" s="80">
        <v>4.7050000000000001</v>
      </c>
      <c r="AL98" s="80">
        <v>3.7050000000000001</v>
      </c>
      <c r="AM98" s="80"/>
      <c r="AN98" s="80"/>
      <c r="AO98" s="80"/>
      <c r="AP98" s="80"/>
      <c r="AQ98" s="80"/>
      <c r="AR98" s="80"/>
      <c r="AS98" s="80"/>
      <c r="AT98" s="86"/>
      <c r="AU98" s="86"/>
      <c r="AV98" s="86"/>
      <c r="AW98" s="86"/>
      <c r="AX98" s="86"/>
      <c r="AY98" s="86"/>
      <c r="AZ98" s="86"/>
      <c r="BA98" s="86"/>
      <c r="BB98" s="86"/>
      <c r="BC98" s="86"/>
      <c r="BD98" s="86"/>
      <c r="BE98" s="86"/>
      <c r="BF98" s="86"/>
      <c r="BG98" s="86"/>
      <c r="BH98" s="86"/>
      <c r="BI98" s="86"/>
      <c r="BJ98" s="86"/>
      <c r="BK98" s="86"/>
      <c r="BL98" s="86"/>
    </row>
    <row r="99" spans="1:84" s="30" customFormat="1" x14ac:dyDescent="0.55000000000000004">
      <c r="B99" s="87"/>
      <c r="C99" s="89" t="s">
        <v>335</v>
      </c>
      <c r="F99" s="86"/>
      <c r="G99" s="86"/>
      <c r="H99" s="86"/>
      <c r="I99" s="86"/>
      <c r="J99" s="86"/>
      <c r="K99" s="86"/>
      <c r="L99" s="86"/>
      <c r="M99" s="86"/>
      <c r="N99" s="86"/>
      <c r="O99" s="86"/>
      <c r="P99" s="80"/>
      <c r="Q99" s="80"/>
      <c r="R99" s="80"/>
      <c r="S99" s="80"/>
      <c r="T99" s="80"/>
      <c r="U99" s="80"/>
      <c r="V99" s="80"/>
      <c r="W99" s="80">
        <v>5.6340000000000012</v>
      </c>
      <c r="X99" s="80"/>
      <c r="Y99" s="80">
        <v>0.4</v>
      </c>
      <c r="Z99" s="80">
        <v>0.62</v>
      </c>
      <c r="AA99" s="80">
        <v>0.56000000000000005</v>
      </c>
      <c r="AB99" s="80">
        <v>0.44</v>
      </c>
      <c r="AC99" s="80">
        <v>0.44</v>
      </c>
      <c r="AD99" s="80">
        <v>0.42</v>
      </c>
      <c r="AE99" s="80">
        <v>0.38</v>
      </c>
      <c r="AF99" s="80">
        <v>0.28000000000000003</v>
      </c>
      <c r="AG99" s="80">
        <v>0.26</v>
      </c>
      <c r="AH99" s="80">
        <v>0.3</v>
      </c>
      <c r="AI99" s="80">
        <v>0.24</v>
      </c>
      <c r="AJ99" s="80">
        <v>0.20200000000000001</v>
      </c>
      <c r="AK99" s="80">
        <v>0.122</v>
      </c>
      <c r="AL99" s="80">
        <v>0.111</v>
      </c>
      <c r="AM99" s="80"/>
      <c r="AN99" s="80"/>
      <c r="AO99" s="80"/>
      <c r="AP99" s="80"/>
      <c r="AQ99" s="80"/>
      <c r="AR99" s="80"/>
      <c r="AS99" s="80"/>
      <c r="AT99" s="86"/>
      <c r="AU99" s="86"/>
      <c r="AV99" s="86"/>
      <c r="AW99" s="86"/>
      <c r="AX99" s="86"/>
      <c r="AY99" s="86"/>
      <c r="AZ99" s="86"/>
      <c r="BA99" s="86"/>
      <c r="BB99" s="86"/>
      <c r="BC99" s="86"/>
      <c r="BD99" s="86"/>
      <c r="BE99" s="86"/>
      <c r="BF99" s="86"/>
      <c r="BG99" s="86"/>
      <c r="BH99" s="86"/>
      <c r="BI99" s="86"/>
      <c r="BJ99" s="86"/>
      <c r="BK99" s="86"/>
      <c r="BL99" s="86"/>
    </row>
    <row r="100" spans="1:84" s="30" customFormat="1" x14ac:dyDescent="0.55000000000000004">
      <c r="B100" s="87"/>
      <c r="C100" s="89" t="s">
        <v>336</v>
      </c>
      <c r="F100" s="86"/>
      <c r="G100" s="86"/>
      <c r="H100" s="86"/>
      <c r="I100" s="86"/>
      <c r="J100" s="86"/>
      <c r="K100" s="86"/>
      <c r="L100" s="86"/>
      <c r="M100" s="86"/>
      <c r="N100" s="86"/>
      <c r="O100" s="86"/>
      <c r="P100" s="80"/>
      <c r="Q100" s="80"/>
      <c r="R100" s="80"/>
      <c r="S100" s="80"/>
      <c r="T100" s="80"/>
      <c r="U100" s="80"/>
      <c r="V100" s="80"/>
      <c r="W100" s="80">
        <v>5.22</v>
      </c>
      <c r="X100" s="80">
        <v>7.12</v>
      </c>
      <c r="Y100" s="80">
        <v>8.1199999999999992</v>
      </c>
      <c r="Z100" s="80">
        <v>8.98</v>
      </c>
      <c r="AA100" s="80">
        <v>8.3800000000000008</v>
      </c>
      <c r="AB100" s="80">
        <v>9.58</v>
      </c>
      <c r="AC100" s="80">
        <v>10.34</v>
      </c>
      <c r="AD100" s="80">
        <v>8.68</v>
      </c>
      <c r="AE100" s="80">
        <v>8.34</v>
      </c>
      <c r="AF100" s="80">
        <v>5.08</v>
      </c>
      <c r="AG100" s="80">
        <v>4.16</v>
      </c>
      <c r="AH100" s="80">
        <v>4.34</v>
      </c>
      <c r="AI100" s="80">
        <v>3.8</v>
      </c>
      <c r="AJ100" s="80">
        <v>2.8969999999999998</v>
      </c>
      <c r="AK100" s="80">
        <v>3.5950000000000002</v>
      </c>
      <c r="AL100" s="80">
        <v>4.2629999999999999</v>
      </c>
      <c r="AM100" s="80"/>
      <c r="AN100" s="80"/>
      <c r="AO100" s="80"/>
      <c r="AP100" s="80"/>
      <c r="AQ100" s="80"/>
      <c r="AR100" s="80"/>
      <c r="AS100" s="80"/>
      <c r="AT100" s="86"/>
      <c r="AU100" s="86"/>
      <c r="AV100" s="86"/>
      <c r="AW100" s="86"/>
      <c r="AX100" s="86"/>
      <c r="AY100" s="86"/>
      <c r="AZ100" s="86"/>
      <c r="BA100" s="86"/>
      <c r="BB100" s="86"/>
      <c r="BC100" s="86"/>
      <c r="BD100" s="86"/>
      <c r="BE100" s="86"/>
      <c r="BF100" s="86"/>
      <c r="BG100" s="86"/>
      <c r="BH100" s="86"/>
      <c r="BI100" s="86"/>
      <c r="BJ100" s="86"/>
      <c r="BK100" s="86"/>
      <c r="BL100" s="86"/>
    </row>
    <row r="101" spans="1:84" s="30" customFormat="1" x14ac:dyDescent="0.55000000000000004">
      <c r="B101" s="87"/>
      <c r="C101" s="89" t="s">
        <v>337</v>
      </c>
      <c r="F101" s="86"/>
      <c r="G101" s="86"/>
      <c r="H101" s="86"/>
      <c r="I101" s="86"/>
      <c r="J101" s="86"/>
      <c r="K101" s="86"/>
      <c r="L101" s="86"/>
      <c r="M101" s="86"/>
      <c r="N101" s="86"/>
      <c r="O101" s="86"/>
      <c r="P101" s="80"/>
      <c r="Q101" s="80"/>
      <c r="R101" s="80"/>
      <c r="S101" s="121"/>
      <c r="T101" s="121"/>
      <c r="U101" s="121"/>
      <c r="V101" s="121"/>
      <c r="W101" s="80">
        <v>17.184000000000001</v>
      </c>
      <c r="X101" s="80">
        <v>19.7</v>
      </c>
      <c r="Y101" s="80">
        <v>23.64</v>
      </c>
      <c r="Z101" s="80">
        <v>25.78</v>
      </c>
      <c r="AA101" s="80">
        <v>27.6</v>
      </c>
      <c r="AB101" s="80">
        <v>26.64</v>
      </c>
      <c r="AC101" s="80">
        <v>29.02</v>
      </c>
      <c r="AD101" s="80">
        <v>27.46</v>
      </c>
      <c r="AE101" s="80">
        <v>19.3</v>
      </c>
      <c r="AF101" s="80">
        <v>15.94</v>
      </c>
      <c r="AG101" s="80">
        <v>18.14</v>
      </c>
      <c r="AH101" s="80">
        <v>14.9</v>
      </c>
      <c r="AI101" s="80">
        <v>13.22</v>
      </c>
      <c r="AJ101" s="80">
        <v>13.256</v>
      </c>
      <c r="AK101" s="80">
        <v>11.375</v>
      </c>
      <c r="AL101" s="80">
        <v>14.571999999999999</v>
      </c>
      <c r="AM101" s="121"/>
      <c r="AN101" s="121"/>
      <c r="AO101" s="121"/>
      <c r="AP101" s="80"/>
      <c r="AQ101" s="80"/>
      <c r="AR101" s="80"/>
      <c r="AS101" s="80"/>
      <c r="AT101" s="86"/>
      <c r="AU101" s="86"/>
      <c r="AV101" s="86"/>
      <c r="AW101" s="86"/>
      <c r="AX101" s="86"/>
      <c r="AY101" s="86"/>
      <c r="AZ101" s="86"/>
      <c r="BA101" s="86"/>
      <c r="BB101" s="86"/>
      <c r="BC101" s="86"/>
      <c r="BD101" s="86"/>
      <c r="BE101" s="86"/>
      <c r="BF101" s="86"/>
      <c r="BG101" s="86"/>
      <c r="BH101" s="86"/>
      <c r="BI101" s="86"/>
      <c r="BJ101" s="86"/>
      <c r="BK101" s="86"/>
      <c r="BL101" s="86"/>
    </row>
    <row r="102" spans="1:84" s="30" customFormat="1" x14ac:dyDescent="0.55000000000000004">
      <c r="B102" s="87"/>
      <c r="C102" s="89" t="s">
        <v>338</v>
      </c>
      <c r="F102" s="86"/>
      <c r="G102" s="86"/>
      <c r="H102" s="86"/>
      <c r="I102" s="86"/>
      <c r="J102" s="86"/>
      <c r="K102" s="86"/>
      <c r="L102" s="86"/>
      <c r="M102" s="86"/>
      <c r="N102" s="86"/>
      <c r="O102" s="86"/>
      <c r="P102" s="80"/>
      <c r="Q102" s="80"/>
      <c r="R102" s="80"/>
      <c r="S102" s="80"/>
      <c r="T102" s="80"/>
      <c r="U102" s="80"/>
      <c r="V102" s="80"/>
      <c r="W102" s="80">
        <v>1.3560000000000003</v>
      </c>
      <c r="X102" s="80">
        <v>1.4</v>
      </c>
      <c r="Y102" s="80">
        <v>1.86</v>
      </c>
      <c r="Z102" s="80">
        <v>1.9</v>
      </c>
      <c r="AA102" s="80">
        <v>2</v>
      </c>
      <c r="AB102" s="80">
        <v>1.82</v>
      </c>
      <c r="AC102" s="80">
        <v>1.86</v>
      </c>
      <c r="AD102" s="80">
        <v>1.6</v>
      </c>
      <c r="AE102" s="80">
        <v>2.7</v>
      </c>
      <c r="AF102" s="80">
        <v>2.1800000000000002</v>
      </c>
      <c r="AG102" s="80">
        <v>2.38</v>
      </c>
      <c r="AH102" s="80">
        <v>1.6</v>
      </c>
      <c r="AI102" s="80">
        <v>1.4</v>
      </c>
      <c r="AJ102" s="80">
        <v>1.4850000000000001</v>
      </c>
      <c r="AK102" s="80">
        <v>1.228</v>
      </c>
      <c r="AL102" s="80">
        <v>1.2030000000000001</v>
      </c>
      <c r="AM102" s="80"/>
      <c r="AN102" s="80"/>
      <c r="AO102" s="80"/>
      <c r="AP102" s="80"/>
      <c r="AQ102" s="80"/>
      <c r="AR102" s="80"/>
      <c r="AS102" s="80"/>
      <c r="AT102" s="86"/>
      <c r="AU102" s="86"/>
      <c r="AV102" s="86"/>
      <c r="AW102" s="86"/>
      <c r="AX102" s="86"/>
      <c r="AY102" s="86"/>
      <c r="AZ102" s="86"/>
      <c r="BA102" s="86"/>
      <c r="BB102" s="86"/>
      <c r="BC102" s="86"/>
      <c r="BD102" s="86"/>
      <c r="BE102" s="86"/>
      <c r="BF102" s="86"/>
      <c r="BG102" s="86"/>
      <c r="BH102" s="86"/>
      <c r="BI102" s="86"/>
      <c r="BJ102" s="86"/>
      <c r="BK102" s="86"/>
      <c r="BL102" s="86"/>
    </row>
    <row r="103" spans="1:84" s="30" customFormat="1" x14ac:dyDescent="0.55000000000000004">
      <c r="B103" s="87"/>
      <c r="C103" s="89" t="s">
        <v>339</v>
      </c>
      <c r="F103" s="86"/>
      <c r="G103" s="86"/>
      <c r="H103" s="86"/>
      <c r="I103" s="86"/>
      <c r="J103" s="86"/>
      <c r="K103" s="86"/>
      <c r="L103" s="86"/>
      <c r="M103" s="86"/>
      <c r="N103" s="86"/>
      <c r="O103" s="86"/>
      <c r="P103" s="80"/>
      <c r="Q103" s="80"/>
      <c r="R103" s="80"/>
      <c r="S103" s="80"/>
      <c r="T103" s="80"/>
      <c r="U103" s="80"/>
      <c r="V103" s="80"/>
      <c r="W103" s="80">
        <v>14.34</v>
      </c>
      <c r="X103" s="80">
        <v>15.88</v>
      </c>
      <c r="Y103" s="80">
        <v>18.059999999999999</v>
      </c>
      <c r="Z103" s="80">
        <v>20.34</v>
      </c>
      <c r="AA103" s="80">
        <v>24.08</v>
      </c>
      <c r="AB103" s="80">
        <v>25.46</v>
      </c>
      <c r="AC103" s="80">
        <v>29.72</v>
      </c>
      <c r="AD103" s="80">
        <v>26.4</v>
      </c>
      <c r="AE103" s="80">
        <v>24.12</v>
      </c>
      <c r="AF103" s="80">
        <v>21.56</v>
      </c>
      <c r="AG103" s="80">
        <v>29.08</v>
      </c>
      <c r="AH103" s="80">
        <v>36.78</v>
      </c>
      <c r="AI103" s="80">
        <v>39.520000000000003</v>
      </c>
      <c r="AJ103" s="80">
        <v>35.555999999999997</v>
      </c>
      <c r="AK103" s="80">
        <v>36.698</v>
      </c>
      <c r="AL103" s="80">
        <v>37.466000000000001</v>
      </c>
      <c r="AM103" s="80"/>
      <c r="AN103" s="80"/>
      <c r="AO103" s="80"/>
      <c r="AP103" s="80"/>
      <c r="AQ103" s="80"/>
      <c r="AR103" s="80"/>
      <c r="AS103" s="80"/>
      <c r="AT103" s="86"/>
      <c r="AU103" s="86"/>
      <c r="AV103" s="86"/>
      <c r="AW103" s="86"/>
      <c r="AX103" s="86"/>
      <c r="AY103" s="86"/>
      <c r="AZ103" s="86"/>
      <c r="BA103" s="86"/>
      <c r="BB103" s="86"/>
      <c r="BC103" s="86"/>
      <c r="BD103" s="86"/>
      <c r="BE103" s="86"/>
      <c r="BF103" s="86"/>
      <c r="BG103" s="86"/>
      <c r="BH103" s="86"/>
      <c r="BI103" s="86"/>
      <c r="BJ103" s="86"/>
      <c r="BK103" s="86"/>
      <c r="BL103" s="86"/>
    </row>
    <row r="104" spans="1:84" s="30" customFormat="1" x14ac:dyDescent="0.55000000000000004">
      <c r="B104" s="87"/>
      <c r="C104" s="89" t="s">
        <v>340</v>
      </c>
      <c r="F104" s="86"/>
      <c r="G104" s="86"/>
      <c r="H104" s="86"/>
      <c r="I104" s="86"/>
      <c r="J104" s="86"/>
      <c r="K104" s="86"/>
      <c r="L104" s="86"/>
      <c r="M104" s="86"/>
      <c r="N104" s="86"/>
      <c r="O104" s="86"/>
      <c r="P104" s="80"/>
      <c r="Q104" s="80"/>
      <c r="R104" s="80"/>
      <c r="S104" s="80"/>
      <c r="T104" s="80"/>
      <c r="U104" s="80"/>
      <c r="V104" s="80"/>
      <c r="W104" s="80">
        <v>2.7</v>
      </c>
      <c r="X104" s="80">
        <v>5.32</v>
      </c>
      <c r="Y104" s="80">
        <v>6.12</v>
      </c>
      <c r="Z104" s="80">
        <v>6.7</v>
      </c>
      <c r="AA104" s="80">
        <v>6.68</v>
      </c>
      <c r="AB104" s="80">
        <v>6.46</v>
      </c>
      <c r="AC104" s="80">
        <v>6.96</v>
      </c>
      <c r="AD104" s="80">
        <v>6.2</v>
      </c>
      <c r="AE104" s="80">
        <v>4.88</v>
      </c>
      <c r="AF104" s="80">
        <v>4.68</v>
      </c>
      <c r="AG104" s="80">
        <v>5.0199999999999996</v>
      </c>
      <c r="AH104" s="80">
        <v>6.42</v>
      </c>
      <c r="AI104" s="80">
        <v>5.96</v>
      </c>
      <c r="AJ104" s="80">
        <v>5.2039999999999997</v>
      </c>
      <c r="AK104" s="80">
        <v>4.8760000000000003</v>
      </c>
      <c r="AL104" s="80">
        <v>0.85699999999999998</v>
      </c>
      <c r="AM104" s="80"/>
      <c r="AN104" s="80"/>
      <c r="AO104" s="80"/>
      <c r="AP104" s="80"/>
      <c r="AQ104" s="80"/>
      <c r="AR104" s="80"/>
      <c r="AS104" s="80"/>
      <c r="AT104" s="86"/>
      <c r="AU104" s="86"/>
      <c r="AV104" s="86"/>
      <c r="AW104" s="86"/>
      <c r="AX104" s="86"/>
      <c r="AY104" s="86"/>
      <c r="AZ104" s="86"/>
      <c r="BA104" s="86"/>
      <c r="BB104" s="86"/>
      <c r="BC104" s="86"/>
      <c r="BD104" s="86"/>
      <c r="BE104" s="86"/>
      <c r="BF104" s="86"/>
      <c r="BG104" s="86"/>
      <c r="BH104" s="86"/>
      <c r="BI104" s="86"/>
      <c r="BJ104" s="86"/>
      <c r="BK104" s="86"/>
      <c r="BL104" s="86"/>
    </row>
    <row r="105" spans="1:84" s="7" customFormat="1" x14ac:dyDescent="0.5">
      <c r="A105" s="7" t="s">
        <v>62</v>
      </c>
      <c r="C105" s="42" t="s">
        <v>97</v>
      </c>
      <c r="D105" s="42"/>
      <c r="E105" s="43"/>
      <c r="G105" s="43"/>
      <c r="I105" s="43"/>
      <c r="K105" s="43"/>
      <c r="AH105" s="44"/>
      <c r="AI105" s="44"/>
      <c r="AJ105" s="44"/>
      <c r="AK105" s="44"/>
      <c r="AL105" s="44"/>
      <c r="AM105" s="44"/>
      <c r="AN105" s="44"/>
      <c r="AO105" s="44"/>
      <c r="AP105" s="44"/>
      <c r="AQ105" s="44"/>
      <c r="AR105" s="44"/>
      <c r="AS105" s="44"/>
      <c r="AT105" s="44"/>
      <c r="AU105" s="44"/>
      <c r="AV105" s="44"/>
      <c r="AW105" s="44"/>
      <c r="AX105" s="44"/>
    </row>
    <row r="106" spans="1:84" s="30" customFormat="1" ht="12.75" customHeight="1" x14ac:dyDescent="0.55000000000000004">
      <c r="B106" s="87"/>
      <c r="C106" s="30" t="s">
        <v>354</v>
      </c>
      <c r="O106" s="30">
        <v>73</v>
      </c>
      <c r="P106" s="30">
        <v>79</v>
      </c>
      <c r="Q106" s="102">
        <f>P106*(S106/P106)^(1/3)</f>
        <v>85.457738196417409</v>
      </c>
      <c r="R106" s="102">
        <f>Q106*(T106/Q106)^(1/3)</f>
        <v>91.238620284451045</v>
      </c>
      <c r="S106" s="30">
        <v>100</v>
      </c>
      <c r="T106" s="30">
        <v>104</v>
      </c>
      <c r="U106" s="30">
        <v>112</v>
      </c>
      <c r="V106" s="30">
        <v>117</v>
      </c>
      <c r="W106" s="30">
        <v>122</v>
      </c>
      <c r="X106" s="30">
        <v>134</v>
      </c>
      <c r="Y106" s="30">
        <v>135</v>
      </c>
      <c r="Z106" s="30">
        <v>136</v>
      </c>
      <c r="AA106" s="30">
        <v>138</v>
      </c>
      <c r="AB106" s="30">
        <v>138</v>
      </c>
      <c r="AC106" s="30">
        <v>141</v>
      </c>
      <c r="AD106" s="30">
        <v>148</v>
      </c>
      <c r="AE106" s="30">
        <v>153</v>
      </c>
      <c r="AF106" s="30">
        <v>157</v>
      </c>
      <c r="AG106" s="30">
        <v>163</v>
      </c>
      <c r="AH106" s="30">
        <v>169</v>
      </c>
      <c r="AM106" s="60"/>
    </row>
    <row r="107" spans="1:84" s="30" customFormat="1" ht="12.75" customHeight="1" x14ac:dyDescent="0.55000000000000004">
      <c r="C107" s="30" t="s">
        <v>355</v>
      </c>
      <c r="AC107" s="30">
        <v>100</v>
      </c>
      <c r="AD107" s="66">
        <v>100</v>
      </c>
      <c r="AE107" s="66">
        <v>104</v>
      </c>
      <c r="AF107" s="66">
        <v>110</v>
      </c>
      <c r="AG107" s="66">
        <v>118</v>
      </c>
      <c r="AH107" s="30">
        <v>124</v>
      </c>
      <c r="AI107" s="30">
        <v>129</v>
      </c>
      <c r="AJ107" s="30">
        <v>126</v>
      </c>
      <c r="AK107" s="30">
        <v>137</v>
      </c>
      <c r="AL107" s="30">
        <v>147</v>
      </c>
      <c r="AM107" s="30">
        <v>164</v>
      </c>
      <c r="AN107" s="30">
        <v>163</v>
      </c>
      <c r="AO107" s="30">
        <v>184</v>
      </c>
      <c r="AP107" s="30">
        <v>275</v>
      </c>
      <c r="AQ107" s="30">
        <v>327</v>
      </c>
      <c r="AR107" s="30">
        <v>454</v>
      </c>
      <c r="AS107" s="30">
        <v>794</v>
      </c>
      <c r="AT107" s="30">
        <v>1172</v>
      </c>
    </row>
    <row r="108" spans="1:84" s="30" customFormat="1" ht="12.75" customHeight="1" x14ac:dyDescent="0.55000000000000004">
      <c r="C108" s="30" t="s">
        <v>356</v>
      </c>
      <c r="AD108" s="66"/>
      <c r="AE108" s="66"/>
      <c r="AF108" s="66"/>
      <c r="AG108" s="66"/>
      <c r="AT108" s="30">
        <v>19.7</v>
      </c>
      <c r="AU108" s="30">
        <v>34.4</v>
      </c>
      <c r="AV108" s="30">
        <v>67.2</v>
      </c>
      <c r="AW108" s="30">
        <v>172</v>
      </c>
      <c r="AX108" s="30">
        <v>190</v>
      </c>
      <c r="AY108" s="30">
        <v>252</v>
      </c>
      <c r="AZ108" s="30">
        <v>292</v>
      </c>
      <c r="BA108" s="30">
        <v>751</v>
      </c>
      <c r="BB108" s="30">
        <v>1902</v>
      </c>
    </row>
    <row r="109" spans="1:84" s="30" customFormat="1" ht="12.75" customHeight="1" x14ac:dyDescent="0.55000000000000004">
      <c r="B109" s="30" t="s">
        <v>103</v>
      </c>
      <c r="C109" s="66" t="s">
        <v>357</v>
      </c>
      <c r="S109" s="85"/>
      <c r="T109" s="85"/>
      <c r="U109" s="85"/>
      <c r="V109" s="85"/>
      <c r="W109" s="85"/>
      <c r="X109" s="85"/>
      <c r="Y109" s="85"/>
      <c r="Z109" s="85"/>
      <c r="AA109" s="85"/>
      <c r="BI109" s="85">
        <v>36.0940476153757</v>
      </c>
      <c r="BJ109" s="85">
        <v>39.716720505221403</v>
      </c>
      <c r="BK109" s="85">
        <v>42.318221377066202</v>
      </c>
      <c r="BL109" s="85">
        <v>45.361598307744302</v>
      </c>
      <c r="BM109" s="85">
        <v>49.067196999515801</v>
      </c>
      <c r="BN109" s="85">
        <v>49.100957278134103</v>
      </c>
      <c r="BO109" s="85">
        <v>51.937700756181698</v>
      </c>
      <c r="BP109" s="85">
        <v>53.699438776651597</v>
      </c>
      <c r="BQ109" s="85">
        <v>54.701000563468497</v>
      </c>
      <c r="BR109" s="85">
        <v>54.543730530827801</v>
      </c>
      <c r="BS109" s="85">
        <v>59.278386250326001</v>
      </c>
      <c r="BT109" s="85">
        <v>61.484305392365002</v>
      </c>
      <c r="BU109" s="85">
        <v>66.678946148044901</v>
      </c>
      <c r="BV109" s="85">
        <v>71.553627951571997</v>
      </c>
      <c r="BW109" s="85">
        <v>75.945955154676795</v>
      </c>
      <c r="BX109" s="85">
        <v>85.0980925051349</v>
      </c>
      <c r="BY109" s="85">
        <v>96.175529218411199</v>
      </c>
      <c r="BZ109" s="85">
        <v>100</v>
      </c>
      <c r="CA109" s="85">
        <v>118.692904478175</v>
      </c>
      <c r="CB109" s="85">
        <v>135.32896910687799</v>
      </c>
      <c r="CC109" s="85">
        <v>142.72388782754001</v>
      </c>
      <c r="CD109" s="85">
        <v>148.844186806164</v>
      </c>
      <c r="CE109" s="85">
        <v>156.62193148940901</v>
      </c>
      <c r="CF109" s="85"/>
    </row>
    <row r="110" spans="1:84" s="30" customFormat="1" ht="12.75" customHeight="1" x14ac:dyDescent="0.55000000000000004">
      <c r="C110" s="66" t="s">
        <v>358</v>
      </c>
      <c r="D110" s="82"/>
      <c r="O110" s="85">
        <f>P110*(O106/P106)</f>
        <v>51.773049645390074</v>
      </c>
      <c r="P110" s="85">
        <f t="shared" ref="P110:AA110" si="8">Q110*(P106/Q106)</f>
        <v>56.028368794326241</v>
      </c>
      <c r="Q110" s="85">
        <f t="shared" si="8"/>
        <v>60.608324961998164</v>
      </c>
      <c r="R110" s="85">
        <f t="shared" si="8"/>
        <v>64.708241336490104</v>
      </c>
      <c r="S110" s="85">
        <f t="shared" si="8"/>
        <v>70.921985815602838</v>
      </c>
      <c r="T110" s="85">
        <f t="shared" si="8"/>
        <v>73.758865248226954</v>
      </c>
      <c r="U110" s="85">
        <f t="shared" si="8"/>
        <v>79.432624113475171</v>
      </c>
      <c r="V110" s="85">
        <f t="shared" si="8"/>
        <v>82.978723404255305</v>
      </c>
      <c r="W110" s="85">
        <f t="shared" si="8"/>
        <v>86.524822695035454</v>
      </c>
      <c r="X110" s="85">
        <f t="shared" si="8"/>
        <v>95.035460992907801</v>
      </c>
      <c r="Y110" s="85">
        <f t="shared" si="8"/>
        <v>95.744680851063833</v>
      </c>
      <c r="Z110" s="85">
        <f t="shared" si="8"/>
        <v>96.453900709219866</v>
      </c>
      <c r="AA110" s="85">
        <f t="shared" si="8"/>
        <v>97.872340425531917</v>
      </c>
      <c r="AB110" s="85">
        <f>AC110*(AB106/AC106)</f>
        <v>97.872340425531917</v>
      </c>
      <c r="AC110" s="85">
        <f>AC107</f>
        <v>100</v>
      </c>
      <c r="AD110" s="85">
        <f t="shared" ref="AD110:AT110" si="9">AD107</f>
        <v>100</v>
      </c>
      <c r="AE110" s="85">
        <f t="shared" si="9"/>
        <v>104</v>
      </c>
      <c r="AF110" s="85">
        <f t="shared" si="9"/>
        <v>110</v>
      </c>
      <c r="AG110" s="85">
        <f t="shared" si="9"/>
        <v>118</v>
      </c>
      <c r="AH110" s="85">
        <f t="shared" si="9"/>
        <v>124</v>
      </c>
      <c r="AI110" s="85">
        <f t="shared" si="9"/>
        <v>129</v>
      </c>
      <c r="AJ110" s="85">
        <f t="shared" si="9"/>
        <v>126</v>
      </c>
      <c r="AK110" s="85">
        <f t="shared" si="9"/>
        <v>137</v>
      </c>
      <c r="AL110" s="85">
        <f t="shared" si="9"/>
        <v>147</v>
      </c>
      <c r="AM110" s="85">
        <f t="shared" si="9"/>
        <v>164</v>
      </c>
      <c r="AN110" s="85">
        <f t="shared" si="9"/>
        <v>163</v>
      </c>
      <c r="AO110" s="85">
        <f t="shared" si="9"/>
        <v>184</v>
      </c>
      <c r="AP110" s="85">
        <f t="shared" si="9"/>
        <v>275</v>
      </c>
      <c r="AQ110" s="85">
        <f t="shared" si="9"/>
        <v>327</v>
      </c>
      <c r="AR110" s="85">
        <f t="shared" si="9"/>
        <v>454</v>
      </c>
      <c r="AS110" s="85">
        <f t="shared" si="9"/>
        <v>794</v>
      </c>
      <c r="AT110" s="85">
        <f t="shared" si="9"/>
        <v>1172</v>
      </c>
      <c r="AU110" s="85">
        <f t="shared" ref="AU110:BB110" si="10">AT110*(AU108/AT108)</f>
        <v>2046.5380710659897</v>
      </c>
      <c r="AV110" s="85">
        <f t="shared" si="10"/>
        <v>3997.8883248730963</v>
      </c>
      <c r="AW110" s="85">
        <f t="shared" si="10"/>
        <v>10232.690355329947</v>
      </c>
      <c r="AX110" s="85">
        <f t="shared" si="10"/>
        <v>11303.553299492383</v>
      </c>
      <c r="AY110" s="85">
        <f t="shared" si="10"/>
        <v>14992.081218274107</v>
      </c>
      <c r="AZ110" s="85">
        <f t="shared" si="10"/>
        <v>17371.776649746189</v>
      </c>
      <c r="BA110" s="85">
        <f t="shared" si="10"/>
        <v>44678.781725888315</v>
      </c>
      <c r="BB110" s="85">
        <f t="shared" si="10"/>
        <v>113154.51776649743</v>
      </c>
      <c r="BC110" s="59"/>
      <c r="BD110" s="59"/>
      <c r="BE110" s="59"/>
      <c r="BF110" s="59"/>
      <c r="BG110" s="59"/>
      <c r="BH110" s="59"/>
      <c r="BI110" s="68"/>
      <c r="BJ110" s="59"/>
      <c r="BK110" s="59"/>
      <c r="BL110" s="59"/>
      <c r="BM110" s="59"/>
      <c r="BN110" s="59"/>
      <c r="BO110" s="59"/>
      <c r="BP110" s="59"/>
      <c r="BQ110" s="59"/>
      <c r="BR110" s="59"/>
      <c r="BS110" s="59"/>
      <c r="BT110" s="59"/>
      <c r="BU110" s="59"/>
      <c r="BV110" s="59"/>
      <c r="BW110" s="59"/>
      <c r="BX110" s="59"/>
      <c r="BY110" s="59"/>
      <c r="BZ110" s="59"/>
      <c r="CA110" s="59"/>
      <c r="CB110" s="59"/>
      <c r="CC110" s="59"/>
      <c r="CD110" s="59"/>
      <c r="CE110" s="59"/>
    </row>
    <row r="112" spans="1:84" s="30" customFormat="1" ht="12.75" customHeight="1" x14ac:dyDescent="0.5">
      <c r="B112" s="4" t="s">
        <v>103</v>
      </c>
      <c r="C112" s="26" t="s">
        <v>104</v>
      </c>
      <c r="Q112" s="90"/>
      <c r="R112" s="66"/>
      <c r="S112" s="85"/>
      <c r="T112" s="85"/>
      <c r="U112" s="85"/>
      <c r="V112" s="85"/>
      <c r="W112" s="85"/>
      <c r="X112" s="85"/>
      <c r="Y112" s="85"/>
      <c r="Z112" s="85"/>
      <c r="AA112" s="85"/>
      <c r="AB112" s="131">
        <v>7.1430000071429994E-2</v>
      </c>
      <c r="AC112" s="131">
        <v>7.1430000071429994E-2</v>
      </c>
      <c r="AD112" s="131">
        <v>7.1430000071429994E-2</v>
      </c>
      <c r="AE112" s="131">
        <v>7.1430000071429994E-2</v>
      </c>
      <c r="AF112" s="131">
        <v>7.1430000071429994E-2</v>
      </c>
      <c r="AG112" s="131">
        <v>7.1430000071429994E-2</v>
      </c>
      <c r="AH112" s="131">
        <v>7.1430000071429994E-2</v>
      </c>
      <c r="AI112" s="131">
        <v>7.1430000071429994E-2</v>
      </c>
      <c r="AJ112" s="131">
        <v>7.1430000071429994E-2</v>
      </c>
      <c r="AK112" s="131">
        <v>7.1430000071429994E-2</v>
      </c>
      <c r="AL112" s="131">
        <v>7.1430000071429994E-2</v>
      </c>
      <c r="AM112" s="131">
        <v>7.1429995890081102E-2</v>
      </c>
      <c r="AN112" s="131">
        <v>7.1429999990000007E-2</v>
      </c>
      <c r="AO112" s="131">
        <v>7.0214499989999998E-2</v>
      </c>
      <c r="AP112" s="131">
        <v>7.1359499990000005E-2</v>
      </c>
      <c r="AQ112" s="131">
        <v>7.421924999E-2</v>
      </c>
      <c r="AR112" s="131">
        <v>8.2661666662499994E-2</v>
      </c>
      <c r="AS112" s="131">
        <v>8.2589999993333302E-2</v>
      </c>
      <c r="AT112" s="131">
        <v>7.7356666656666698E-2</v>
      </c>
      <c r="AU112" s="131">
        <v>7.4828333323333301E-2</v>
      </c>
      <c r="AV112" s="131">
        <v>7.4169999989999999E-2</v>
      </c>
      <c r="AW112" s="131">
        <v>0.50052333332666699</v>
      </c>
      <c r="AX112" s="131">
        <v>0.94046666666166701</v>
      </c>
      <c r="AY112" s="131">
        <v>1.5386249999924999</v>
      </c>
      <c r="AZ112" s="131">
        <v>3.5970249999949999</v>
      </c>
      <c r="BA112" s="131">
        <v>6.7202000000058302</v>
      </c>
      <c r="BB112" s="131">
        <v>14</v>
      </c>
      <c r="BC112" s="131">
        <v>42.841266666666698</v>
      </c>
      <c r="BD112" s="131">
        <v>106.135833333333</v>
      </c>
      <c r="BE112" s="131">
        <v>223.09160630809001</v>
      </c>
      <c r="BF112" s="131">
        <v>428.85466666666701</v>
      </c>
      <c r="BG112" s="131">
        <v>734.00991666666698</v>
      </c>
      <c r="BH112" s="131">
        <v>1133.8343333333301</v>
      </c>
      <c r="BI112" s="131">
        <v>1195.01675</v>
      </c>
      <c r="BJ112" s="131">
        <v>979.44541666666703</v>
      </c>
      <c r="BK112" s="131">
        <v>968.91666666666697</v>
      </c>
      <c r="BL112" s="131">
        <v>1046.08475</v>
      </c>
      <c r="BM112" s="131">
        <v>1083.00866666667</v>
      </c>
      <c r="BN112" s="131">
        <v>1240.3058333333299</v>
      </c>
      <c r="BO112" s="131">
        <v>1454.8271666666701</v>
      </c>
      <c r="BP112" s="131">
        <v>1644.4753333333299</v>
      </c>
      <c r="BQ112" s="131">
        <v>1755.6587500000001</v>
      </c>
      <c r="BR112" s="131">
        <v>1797.5505000000001</v>
      </c>
      <c r="BS112" s="131">
        <v>1963.72008333333</v>
      </c>
      <c r="BT112" s="131">
        <v>1810.3047136515099</v>
      </c>
      <c r="BU112" s="131">
        <v>1780.6657768939399</v>
      </c>
      <c r="BV112" s="131">
        <v>1831.45340494586</v>
      </c>
      <c r="BW112" s="131">
        <v>1723.4917723430001</v>
      </c>
      <c r="BX112" s="131">
        <v>1720.4438833177701</v>
      </c>
      <c r="BY112" s="131">
        <v>2030.4880743341801</v>
      </c>
      <c r="BZ112" s="131">
        <v>2177.5575068335802</v>
      </c>
      <c r="CA112" s="131">
        <v>2522.74632070807</v>
      </c>
      <c r="CB112" s="131">
        <v>2504.5630775832801</v>
      </c>
      <c r="CC112" s="131">
        <v>2586.8895685656098</v>
      </c>
      <c r="CD112" s="131">
        <v>2599.7885214186199</v>
      </c>
      <c r="CE112" s="131">
        <v>3240.64542033826</v>
      </c>
      <c r="CF112" s="131">
        <v>3420.0980072473599</v>
      </c>
    </row>
    <row r="113" spans="1:88" s="4" customFormat="1" x14ac:dyDescent="0.5">
      <c r="B113" s="4" t="s">
        <v>103</v>
      </c>
      <c r="C113" s="4" t="s">
        <v>110</v>
      </c>
      <c r="AB113" s="41">
        <v>13.572165966081</v>
      </c>
      <c r="AC113" s="41">
        <v>13.718091436812999</v>
      </c>
      <c r="AD113" s="41">
        <v>13.8711951358863</v>
      </c>
      <c r="AE113" s="41">
        <v>14.03960920502</v>
      </c>
      <c r="AF113" s="41">
        <v>14.2233336439079</v>
      </c>
      <c r="AG113" s="41">
        <v>14.4606443773949</v>
      </c>
      <c r="AH113" s="41">
        <v>14.8931623272897</v>
      </c>
      <c r="AI113" s="41">
        <v>15.3065423148003</v>
      </c>
      <c r="AJ113" s="41">
        <v>15.9521295791623</v>
      </c>
      <c r="AK113" s="41">
        <v>16.815889614843801</v>
      </c>
      <c r="AL113" s="41">
        <v>17.807236066304998</v>
      </c>
      <c r="AM113" s="41">
        <v>18.565099376692402</v>
      </c>
      <c r="AN113" s="41">
        <v>19.178790037182701</v>
      </c>
      <c r="AO113" s="41">
        <v>20.371723025782501</v>
      </c>
      <c r="AP113" s="41">
        <v>22.619795673841999</v>
      </c>
      <c r="AQ113" s="41">
        <v>24.685419747108501</v>
      </c>
      <c r="AR113" s="41">
        <v>26.101628963574701</v>
      </c>
      <c r="AS113" s="41">
        <v>27.794700702480601</v>
      </c>
      <c r="AT113" s="41">
        <v>29.920290391293999</v>
      </c>
      <c r="AU113" s="41">
        <v>33.291123499211501</v>
      </c>
      <c r="AV113" s="41">
        <v>37.788544659501802</v>
      </c>
      <c r="AW113" s="41">
        <v>41.686634824620299</v>
      </c>
      <c r="AX113" s="41">
        <v>44.254788345168997</v>
      </c>
      <c r="AY113" s="41">
        <v>45.6764447583299</v>
      </c>
      <c r="AZ113" s="41">
        <v>47.6484197830369</v>
      </c>
      <c r="BA113" s="41">
        <v>49.345235501970798</v>
      </c>
      <c r="BB113" s="41">
        <v>50.262433187881101</v>
      </c>
      <c r="BC113" s="41">
        <v>52.142688443997102</v>
      </c>
      <c r="BD113" s="41">
        <v>54.2331348364673</v>
      </c>
      <c r="BE113" s="41">
        <v>56.850969898336402</v>
      </c>
      <c r="BF113" s="41">
        <v>59.9197604891108</v>
      </c>
      <c r="BG113" s="41">
        <v>62.457340753462802</v>
      </c>
      <c r="BH113" s="41">
        <v>64.349060980652595</v>
      </c>
      <c r="BI113" s="41">
        <v>66.248424521891494</v>
      </c>
      <c r="BJ113" s="41">
        <v>67.9758134970225</v>
      </c>
      <c r="BK113" s="41">
        <v>69.882820352310802</v>
      </c>
      <c r="BL113" s="41">
        <v>71.931228517510405</v>
      </c>
      <c r="BM113" s="41">
        <v>73.612757608346001</v>
      </c>
      <c r="BN113" s="41">
        <v>74.755433058708903</v>
      </c>
      <c r="BO113" s="41">
        <v>76.391102265249003</v>
      </c>
      <c r="BP113" s="41">
        <v>78.970720756871501</v>
      </c>
      <c r="BQ113" s="41">
        <v>81.2025684592533</v>
      </c>
      <c r="BR113" s="41">
        <v>82.490466876552105</v>
      </c>
      <c r="BS113" s="41">
        <v>84.363078818618803</v>
      </c>
      <c r="BT113" s="41">
        <v>86.621678120172803</v>
      </c>
      <c r="BU113" s="41">
        <v>89.560532372110202</v>
      </c>
      <c r="BV113" s="41">
        <v>92.449705082727405</v>
      </c>
      <c r="BW113" s="41">
        <v>95.086992378851505</v>
      </c>
      <c r="BX113" s="41">
        <v>98.737477385344505</v>
      </c>
      <c r="BY113" s="41">
        <v>98.386419971062395</v>
      </c>
      <c r="BZ113" s="41">
        <v>100</v>
      </c>
      <c r="CA113" s="41">
        <v>103.156841568622</v>
      </c>
      <c r="CB113" s="41">
        <v>105.291504532868</v>
      </c>
      <c r="CC113" s="41">
        <v>106.83384887486601</v>
      </c>
      <c r="CD113" s="41">
        <v>108.566932118964</v>
      </c>
      <c r="CE113" s="41">
        <v>108.695721960694</v>
      </c>
      <c r="CF113" s="41"/>
    </row>
    <row r="114" spans="1:88" s="8" customFormat="1" x14ac:dyDescent="0.5">
      <c r="A114" s="7" t="s">
        <v>111</v>
      </c>
      <c r="C114" s="42" t="s">
        <v>112</v>
      </c>
      <c r="D114" s="42"/>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c r="BC114" s="46"/>
      <c r="BD114" s="46" t="s">
        <v>359</v>
      </c>
      <c r="BE114" s="46"/>
      <c r="BF114" s="46"/>
      <c r="BG114" s="46"/>
      <c r="BH114" s="46"/>
      <c r="BI114" s="46"/>
      <c r="BJ114" s="46"/>
      <c r="BK114" s="46"/>
      <c r="BL114" s="46"/>
      <c r="BM114" s="46"/>
      <c r="BN114" s="46"/>
      <c r="BO114" s="46"/>
      <c r="BP114" s="46"/>
      <c r="BQ114" s="46"/>
      <c r="BR114" s="46"/>
      <c r="BS114" s="46"/>
      <c r="BT114" s="46"/>
      <c r="BU114" s="46"/>
      <c r="BV114" s="46"/>
      <c r="BW114" s="46"/>
      <c r="BX114" s="46"/>
      <c r="BY114" s="46"/>
      <c r="BZ114" s="46"/>
    </row>
    <row r="115" spans="1:88" s="10" customFormat="1" x14ac:dyDescent="0.5">
      <c r="A115" s="10" t="s">
        <v>360</v>
      </c>
      <c r="C115" s="22" t="s">
        <v>361</v>
      </c>
      <c r="D115" s="22"/>
      <c r="Q115" s="132"/>
      <c r="R115" s="132"/>
      <c r="S115" s="132"/>
      <c r="T115" s="132"/>
      <c r="U115" s="13"/>
      <c r="V115" s="13"/>
      <c r="W115" s="13">
        <f t="shared" ref="W115:AA115" si="11">W116+W119</f>
        <v>450.77199999999999</v>
      </c>
      <c r="X115" s="13">
        <f t="shared" si="11"/>
        <v>480.76</v>
      </c>
      <c r="Y115" s="13">
        <f t="shared" si="11"/>
        <v>521.22</v>
      </c>
      <c r="Z115" s="13">
        <f t="shared" si="11"/>
        <v>533.93999999999994</v>
      </c>
      <c r="AA115" s="13">
        <f t="shared" si="11"/>
        <v>573.00000000000011</v>
      </c>
      <c r="AB115" s="13">
        <f>AB116+AB119</f>
        <v>540.84</v>
      </c>
      <c r="AC115" s="13">
        <f t="shared" ref="AC115:CB115" si="12">AC116+AC119</f>
        <v>522.22</v>
      </c>
      <c r="AD115" s="13">
        <f t="shared" si="12"/>
        <v>585.80999999999995</v>
      </c>
      <c r="AE115" s="13">
        <f t="shared" si="12"/>
        <v>738</v>
      </c>
      <c r="AF115" s="13">
        <f t="shared" si="12"/>
        <v>867</v>
      </c>
      <c r="AG115" s="13">
        <f t="shared" si="12"/>
        <v>1000.46</v>
      </c>
      <c r="AH115" s="13">
        <f t="shared" si="12"/>
        <v>1098.3999999999999</v>
      </c>
      <c r="AI115" s="13">
        <f t="shared" si="12"/>
        <v>1247.55963817878</v>
      </c>
      <c r="AJ115" s="13">
        <f t="shared" si="12"/>
        <v>1240.3812111042644</v>
      </c>
      <c r="AK115" s="13">
        <f t="shared" si="12"/>
        <v>1328.1311186651294</v>
      </c>
      <c r="AL115" s="13">
        <f t="shared" si="12"/>
        <v>1371.4774663071119</v>
      </c>
      <c r="AM115" s="13">
        <f t="shared" si="12"/>
        <v>1582.9899784581507</v>
      </c>
      <c r="AN115" s="13">
        <f t="shared" si="12"/>
        <v>1733.9399163481087</v>
      </c>
      <c r="AO115" s="13">
        <f t="shared" si="12"/>
        <v>1464.4</v>
      </c>
      <c r="AP115" s="13">
        <f t="shared" si="12"/>
        <v>1574</v>
      </c>
      <c r="AQ115" s="13">
        <f t="shared" si="12"/>
        <v>2358.1</v>
      </c>
      <c r="AR115" s="13">
        <f t="shared" si="12"/>
        <v>2446.6319582100459</v>
      </c>
      <c r="AS115" s="13">
        <f t="shared" si="12"/>
        <v>3710.2645467249304</v>
      </c>
      <c r="AT115" s="13">
        <f t="shared" si="12"/>
        <v>6076</v>
      </c>
      <c r="AU115" s="13">
        <f t="shared" si="12"/>
        <v>2695</v>
      </c>
      <c r="AV115" s="13">
        <f t="shared" si="12"/>
        <v>4323</v>
      </c>
      <c r="AW115" s="13">
        <f t="shared" si="12"/>
        <v>4188</v>
      </c>
      <c r="AX115" s="13">
        <f t="shared" si="12"/>
        <v>28848</v>
      </c>
      <c r="AY115" s="13">
        <f t="shared" si="12"/>
        <v>55297.4</v>
      </c>
      <c r="AZ115" s="13">
        <f t="shared" si="12"/>
        <v>101157.6</v>
      </c>
      <c r="BA115" s="13">
        <f t="shared" si="12"/>
        <v>176384</v>
      </c>
      <c r="BB115" s="13">
        <f t="shared" si="12"/>
        <v>346384</v>
      </c>
      <c r="BC115" s="13">
        <f t="shared" si="12"/>
        <v>666784</v>
      </c>
      <c r="BD115" s="13">
        <f t="shared" si="12"/>
        <v>31084.799999999999</v>
      </c>
      <c r="BE115" s="13">
        <f t="shared" si="12"/>
        <v>63928.160000000003</v>
      </c>
      <c r="BF115" s="13">
        <f t="shared" si="12"/>
        <v>118602.04</v>
      </c>
      <c r="BG115" s="13">
        <f t="shared" si="12"/>
        <v>212464.32</v>
      </c>
      <c r="BH115" s="13">
        <f t="shared" si="12"/>
        <v>346734.8</v>
      </c>
      <c r="BI115" s="13">
        <f t="shared" si="12"/>
        <v>606456</v>
      </c>
      <c r="BJ115" s="13">
        <f t="shared" si="12"/>
        <v>665956</v>
      </c>
      <c r="BK115" s="13">
        <f t="shared" si="12"/>
        <v>795664</v>
      </c>
      <c r="BL115" s="13">
        <f t="shared" si="12"/>
        <v>901688</v>
      </c>
      <c r="BM115" s="13">
        <f t="shared" si="12"/>
        <v>1052856</v>
      </c>
      <c r="BN115" s="13">
        <f t="shared" si="12"/>
        <v>1231260</v>
      </c>
      <c r="BO115" s="13">
        <f t="shared" si="12"/>
        <v>1395728</v>
      </c>
      <c r="BP115" s="13">
        <f t="shared" si="12"/>
        <v>1617360</v>
      </c>
      <c r="BQ115" s="13">
        <f t="shared" si="12"/>
        <v>1959120</v>
      </c>
      <c r="BR115" s="13">
        <f t="shared" si="12"/>
        <v>2019160</v>
      </c>
      <c r="BS115" s="13">
        <f t="shared" si="12"/>
        <v>2321360</v>
      </c>
      <c r="BT115" s="13">
        <f t="shared" si="12"/>
        <v>3005760</v>
      </c>
      <c r="BU115" s="13">
        <f t="shared" si="12"/>
        <v>3223920</v>
      </c>
      <c r="BV115" s="13">
        <f t="shared" si="12"/>
        <v>3493680</v>
      </c>
      <c r="BW115" s="13">
        <f t="shared" si="12"/>
        <v>3730680</v>
      </c>
      <c r="BX115" s="13">
        <f t="shared" si="12"/>
        <v>3988000</v>
      </c>
      <c r="BY115" s="13">
        <f t="shared" si="12"/>
        <v>4926082</v>
      </c>
      <c r="BZ115" s="13">
        <f t="shared" si="12"/>
        <v>5430568</v>
      </c>
      <c r="CA115" s="13">
        <f t="shared" si="12"/>
        <v>7512844</v>
      </c>
      <c r="CB115" s="13">
        <f t="shared" si="12"/>
        <v>7904055</v>
      </c>
      <c r="CC115" s="13"/>
      <c r="CD115" s="13"/>
      <c r="CE115" s="13"/>
    </row>
    <row r="116" spans="1:88" s="10" customFormat="1" x14ac:dyDescent="0.5">
      <c r="C116" s="22" t="s">
        <v>362</v>
      </c>
      <c r="D116" s="22"/>
      <c r="U116" s="13"/>
      <c r="V116" s="13"/>
      <c r="W116" s="13">
        <f>(W118+W122)</f>
        <v>441.97199999999998</v>
      </c>
      <c r="X116" s="13">
        <f t="shared" ref="X116:Y116" si="13">(X118+X122)</f>
        <v>460.76</v>
      </c>
      <c r="Y116" s="13">
        <f t="shared" si="13"/>
        <v>511.22</v>
      </c>
      <c r="Z116" s="13">
        <f>(Z118+Z122)</f>
        <v>533.33999999999992</v>
      </c>
      <c r="AA116" s="13">
        <f t="shared" ref="AA116:AW116" si="14">(AA118+AA122)</f>
        <v>568.12000000000012</v>
      </c>
      <c r="AB116" s="13">
        <f t="shared" si="14"/>
        <v>524.30000000000007</v>
      </c>
      <c r="AC116" s="13">
        <f t="shared" si="14"/>
        <v>495.22</v>
      </c>
      <c r="AD116" s="13">
        <f t="shared" si="14"/>
        <v>561.80999999999995</v>
      </c>
      <c r="AE116" s="13">
        <f t="shared" si="14"/>
        <v>708</v>
      </c>
      <c r="AF116" s="13">
        <f t="shared" si="14"/>
        <v>841.3</v>
      </c>
      <c r="AG116" s="13">
        <f t="shared" si="14"/>
        <v>990.46</v>
      </c>
      <c r="AH116" s="13">
        <f t="shared" si="14"/>
        <v>1082.8999999999999</v>
      </c>
      <c r="AI116" s="13">
        <f t="shared" si="14"/>
        <v>1237.85963817878</v>
      </c>
      <c r="AJ116" s="13">
        <f t="shared" si="14"/>
        <v>1232.8812111042644</v>
      </c>
      <c r="AK116" s="13">
        <f t="shared" si="14"/>
        <v>1321.7311186651293</v>
      </c>
      <c r="AL116" s="13">
        <f t="shared" si="14"/>
        <v>1364.5774663071118</v>
      </c>
      <c r="AM116" s="13">
        <f t="shared" si="14"/>
        <v>1582.9899784581507</v>
      </c>
      <c r="AN116" s="13">
        <f t="shared" si="14"/>
        <v>1733.9399163481087</v>
      </c>
      <c r="AO116" s="13">
        <f t="shared" si="14"/>
        <v>1464.4</v>
      </c>
      <c r="AP116" s="13">
        <f t="shared" si="14"/>
        <v>1574</v>
      </c>
      <c r="AQ116" s="13">
        <f t="shared" si="14"/>
        <v>2319.1</v>
      </c>
      <c r="AR116" s="13">
        <f t="shared" si="14"/>
        <v>2444.6319582100459</v>
      </c>
      <c r="AS116" s="13">
        <f t="shared" si="14"/>
        <v>3603.2645467249304</v>
      </c>
      <c r="AT116" s="13">
        <f t="shared" si="14"/>
        <v>6074</v>
      </c>
      <c r="AU116" s="13">
        <f t="shared" si="14"/>
        <v>2676</v>
      </c>
      <c r="AV116" s="13">
        <f t="shared" si="14"/>
        <v>4240</v>
      </c>
      <c r="AW116" s="13">
        <f t="shared" si="14"/>
        <v>3613</v>
      </c>
      <c r="AX116" s="13">
        <f>(AX118+AX122)</f>
        <v>25360</v>
      </c>
      <c r="AY116" s="13">
        <f>AY118+AY118*AY123</f>
        <v>54714.400000000001</v>
      </c>
      <c r="AZ116" s="13">
        <f t="shared" ref="AZ116:CB116" si="15">AZ118+AZ118*AZ123</f>
        <v>96657.600000000006</v>
      </c>
      <c r="BA116" s="13">
        <f t="shared" si="15"/>
        <v>168584</v>
      </c>
      <c r="BB116" s="13">
        <f t="shared" si="15"/>
        <v>295984</v>
      </c>
      <c r="BC116" s="13">
        <f t="shared" si="15"/>
        <v>610584</v>
      </c>
      <c r="BD116" s="13">
        <f t="shared" si="15"/>
        <v>25864.799999999999</v>
      </c>
      <c r="BE116" s="13">
        <f t="shared" si="15"/>
        <v>49768.160000000003</v>
      </c>
      <c r="BF116" s="13">
        <f t="shared" si="15"/>
        <v>98307.04</v>
      </c>
      <c r="BG116" s="13">
        <f t="shared" si="15"/>
        <v>142280.32000000001</v>
      </c>
      <c r="BH116" s="13">
        <f t="shared" si="15"/>
        <v>193434.8</v>
      </c>
      <c r="BI116" s="13">
        <f t="shared" si="15"/>
        <v>292656</v>
      </c>
      <c r="BJ116" s="13">
        <f t="shared" si="15"/>
        <v>378456</v>
      </c>
      <c r="BK116" s="13">
        <f t="shared" si="15"/>
        <v>547664</v>
      </c>
      <c r="BL116" s="13">
        <f t="shared" si="15"/>
        <v>652288</v>
      </c>
      <c r="BM116" s="13">
        <f t="shared" si="15"/>
        <v>760656</v>
      </c>
      <c r="BN116" s="13">
        <f t="shared" si="15"/>
        <v>833560</v>
      </c>
      <c r="BO116" s="13">
        <f t="shared" si="15"/>
        <v>988728</v>
      </c>
      <c r="BP116" s="13">
        <f t="shared" si="15"/>
        <v>1101360</v>
      </c>
      <c r="BQ116" s="13">
        <f t="shared" si="15"/>
        <v>1173120</v>
      </c>
      <c r="BR116" s="13">
        <f t="shared" si="15"/>
        <v>1304160</v>
      </c>
      <c r="BS116" s="13">
        <f t="shared" si="15"/>
        <v>1491360</v>
      </c>
      <c r="BT116" s="13">
        <f t="shared" si="15"/>
        <v>1735760</v>
      </c>
      <c r="BU116" s="13">
        <f t="shared" si="15"/>
        <v>2025920</v>
      </c>
      <c r="BV116" s="13">
        <f t="shared" si="15"/>
        <v>2357680</v>
      </c>
      <c r="BW116" s="13">
        <f t="shared" si="15"/>
        <v>2773680</v>
      </c>
      <c r="BX116" s="13">
        <f t="shared" si="15"/>
        <v>3328000</v>
      </c>
      <c r="BY116" s="13">
        <f t="shared" si="15"/>
        <v>3938082</v>
      </c>
      <c r="BZ116" s="13">
        <f t="shared" si="15"/>
        <v>4400568</v>
      </c>
      <c r="CA116" s="13">
        <f t="shared" si="15"/>
        <v>6622344</v>
      </c>
      <c r="CB116" s="13">
        <f t="shared" si="15"/>
        <v>6774755</v>
      </c>
      <c r="CC116" s="13"/>
      <c r="CD116" s="13"/>
      <c r="CE116" s="13"/>
    </row>
    <row r="117" spans="1:88" s="30" customFormat="1" ht="12.75" customHeight="1" x14ac:dyDescent="0.55000000000000004">
      <c r="B117" s="66"/>
      <c r="C117" s="99" t="s">
        <v>363</v>
      </c>
      <c r="D117" s="87"/>
      <c r="O117" s="61">
        <f>O118+O119</f>
        <v>100.86000000000001</v>
      </c>
      <c r="P117" s="61">
        <f>P118+P119</f>
        <v>136.54</v>
      </c>
      <c r="Q117" s="61">
        <f t="shared" ref="Q117:X117" si="16">Q118+Q119</f>
        <v>169.26</v>
      </c>
      <c r="R117" s="61">
        <f t="shared" si="16"/>
        <v>222</v>
      </c>
      <c r="S117" s="61">
        <f t="shared" si="16"/>
        <v>327.11999999999995</v>
      </c>
      <c r="T117" s="61">
        <f t="shared" si="16"/>
        <v>334</v>
      </c>
      <c r="U117" s="59">
        <f t="shared" si="16"/>
        <v>294</v>
      </c>
      <c r="V117" s="59"/>
      <c r="W117" s="59">
        <f t="shared" si="16"/>
        <v>378.8</v>
      </c>
      <c r="X117" s="59">
        <f t="shared" si="16"/>
        <v>404</v>
      </c>
      <c r="Y117" s="68">
        <f>Y118+Y119</f>
        <v>438</v>
      </c>
      <c r="Z117" s="68">
        <f t="shared" ref="Z117:AB117" si="17">Z118+Z119</f>
        <v>450</v>
      </c>
      <c r="AA117" s="68">
        <f t="shared" si="17"/>
        <v>483.00000000000006</v>
      </c>
      <c r="AB117" s="68">
        <f t="shared" si="17"/>
        <v>466.80000000000007</v>
      </c>
      <c r="AC117" s="68">
        <v>438.40000000000003</v>
      </c>
      <c r="AD117" s="59">
        <v>506</v>
      </c>
      <c r="AE117" s="59">
        <v>654</v>
      </c>
      <c r="AF117" s="59">
        <v>703.7</v>
      </c>
      <c r="AG117" s="59">
        <v>851.9</v>
      </c>
      <c r="AH117" s="59">
        <v>841.5</v>
      </c>
      <c r="AI117" s="59">
        <v>1003.7</v>
      </c>
      <c r="AJ117" s="59">
        <v>1008.9</v>
      </c>
      <c r="AK117" s="59">
        <v>1108.4000000000001</v>
      </c>
      <c r="AL117" s="59">
        <v>1162.9000000000001</v>
      </c>
      <c r="AM117" s="68">
        <v>1385</v>
      </c>
      <c r="AN117" s="68">
        <v>1546</v>
      </c>
      <c r="AO117" s="68">
        <v>1286</v>
      </c>
      <c r="AP117" s="68">
        <v>1378</v>
      </c>
      <c r="AQ117" s="59">
        <v>2154</v>
      </c>
      <c r="AR117" s="59">
        <v>2238</v>
      </c>
      <c r="AS117" s="59">
        <v>3497</v>
      </c>
      <c r="AT117" s="59">
        <v>5858</v>
      </c>
      <c r="AU117" s="59">
        <v>2488</v>
      </c>
      <c r="AV117" s="59">
        <v>3892</v>
      </c>
      <c r="AW117" s="59">
        <v>3305</v>
      </c>
      <c r="AX117" s="59">
        <v>27878</v>
      </c>
      <c r="AY117" s="59">
        <v>53193</v>
      </c>
      <c r="AZ117" s="59">
        <v>97440</v>
      </c>
      <c r="BA117" s="59">
        <v>169900</v>
      </c>
      <c r="BB117" s="59">
        <v>335000</v>
      </c>
      <c r="BC117" s="59">
        <v>643300</v>
      </c>
      <c r="BD117" s="59">
        <v>30090</v>
      </c>
      <c r="BE117" s="59">
        <v>62014</v>
      </c>
      <c r="BF117" s="59">
        <v>114821</v>
      </c>
      <c r="BG117" s="59">
        <v>206992</v>
      </c>
      <c r="BH117" s="59">
        <v>380639</v>
      </c>
      <c r="BI117" s="59">
        <v>595200</v>
      </c>
      <c r="BJ117" s="59">
        <v>651400</v>
      </c>
      <c r="BK117" s="59">
        <v>774600</v>
      </c>
      <c r="BL117" s="59">
        <v>876600</v>
      </c>
      <c r="BM117" s="59">
        <v>1023600</v>
      </c>
      <c r="BN117" s="59">
        <v>1199200</v>
      </c>
      <c r="BO117" s="59">
        <v>1357700</v>
      </c>
      <c r="BP117" s="59">
        <v>1575000</v>
      </c>
      <c r="BQ117" s="59">
        <v>1914000</v>
      </c>
      <c r="BR117" s="59">
        <v>1969000</v>
      </c>
      <c r="BS117" s="59">
        <v>2264000</v>
      </c>
      <c r="BT117" s="59">
        <v>2939000</v>
      </c>
      <c r="BU117" s="59">
        <v>3146000</v>
      </c>
      <c r="BV117" s="59">
        <v>3403000</v>
      </c>
      <c r="BW117" s="59">
        <v>3624000</v>
      </c>
      <c r="BX117" s="59">
        <v>3860000</v>
      </c>
      <c r="BY117" s="59">
        <v>4779000</v>
      </c>
      <c r="BZ117" s="59">
        <v>5261000</v>
      </c>
      <c r="CA117" s="59">
        <v>7292500</v>
      </c>
      <c r="CB117" s="59">
        <v>7763400</v>
      </c>
      <c r="CC117" s="59"/>
      <c r="CD117" s="59"/>
      <c r="CE117" s="59"/>
    </row>
    <row r="118" spans="1:88" s="30" customFormat="1" ht="12.75" customHeight="1" x14ac:dyDescent="0.55000000000000004">
      <c r="B118" s="66"/>
      <c r="C118" s="99" t="s">
        <v>139</v>
      </c>
      <c r="D118" s="87"/>
      <c r="O118" s="59">
        <v>98.460000000000008</v>
      </c>
      <c r="P118" s="59">
        <v>128.13999999999999</v>
      </c>
      <c r="Q118" s="59">
        <v>161.26</v>
      </c>
      <c r="R118" s="59">
        <v>214</v>
      </c>
      <c r="S118" s="59">
        <v>317.11999999999995</v>
      </c>
      <c r="T118" s="59">
        <v>328</v>
      </c>
      <c r="U118" s="59">
        <v>286</v>
      </c>
      <c r="V118" s="59"/>
      <c r="W118" s="59">
        <v>370</v>
      </c>
      <c r="X118" s="59">
        <v>384</v>
      </c>
      <c r="Y118" s="59">
        <v>428</v>
      </c>
      <c r="Z118" s="68">
        <v>449.4</v>
      </c>
      <c r="AA118" s="68">
        <v>478.12000000000006</v>
      </c>
      <c r="AB118" s="68">
        <v>450.26000000000005</v>
      </c>
      <c r="AC118" s="68">
        <v>419.6</v>
      </c>
      <c r="AD118" s="68">
        <v>482</v>
      </c>
      <c r="AE118" s="68">
        <v>624</v>
      </c>
      <c r="AF118" s="68">
        <v>678</v>
      </c>
      <c r="AG118" s="68">
        <v>841.9</v>
      </c>
      <c r="AH118" s="68">
        <v>826</v>
      </c>
      <c r="AI118" s="68">
        <v>994</v>
      </c>
      <c r="AJ118" s="68">
        <v>1001.4</v>
      </c>
      <c r="AK118" s="68">
        <v>1102</v>
      </c>
      <c r="AL118" s="68">
        <v>1156</v>
      </c>
      <c r="AM118" s="68">
        <v>1385</v>
      </c>
      <c r="AN118" s="68">
        <v>1546</v>
      </c>
      <c r="AO118" s="68">
        <v>1286</v>
      </c>
      <c r="AP118" s="68">
        <v>1378</v>
      </c>
      <c r="AQ118" s="68">
        <v>2115</v>
      </c>
      <c r="AR118" s="68">
        <v>2236</v>
      </c>
      <c r="AS118" s="68">
        <v>3390</v>
      </c>
      <c r="AT118" s="68">
        <v>5856</v>
      </c>
      <c r="AU118" s="133">
        <v>2469</v>
      </c>
      <c r="AV118" s="59">
        <v>3809</v>
      </c>
      <c r="AW118" s="59">
        <v>2730</v>
      </c>
      <c r="AX118" s="59">
        <v>24390</v>
      </c>
      <c r="AY118" s="59">
        <v>52610</v>
      </c>
      <c r="AZ118" s="59">
        <v>92940</v>
      </c>
      <c r="BA118" s="68">
        <v>162100</v>
      </c>
      <c r="BB118" s="59">
        <v>284600</v>
      </c>
      <c r="BC118" s="59">
        <v>587100</v>
      </c>
      <c r="BD118" s="68">
        <v>24870</v>
      </c>
      <c r="BE118" s="59">
        <v>47854</v>
      </c>
      <c r="BF118" s="59">
        <v>94526</v>
      </c>
      <c r="BG118" s="59">
        <v>136808</v>
      </c>
      <c r="BH118" s="59">
        <v>185995</v>
      </c>
      <c r="BI118" s="59">
        <v>281400</v>
      </c>
      <c r="BJ118" s="59">
        <v>363900</v>
      </c>
      <c r="BK118" s="59">
        <v>526600</v>
      </c>
      <c r="BL118" s="59">
        <v>627200</v>
      </c>
      <c r="BM118" s="59">
        <v>731400</v>
      </c>
      <c r="BN118" s="59">
        <v>801500</v>
      </c>
      <c r="BO118" s="59">
        <v>950700</v>
      </c>
      <c r="BP118" s="59">
        <v>1059000</v>
      </c>
      <c r="BQ118" s="59">
        <v>1128000</v>
      </c>
      <c r="BR118" s="59">
        <v>1254000</v>
      </c>
      <c r="BS118" s="59">
        <v>1434000</v>
      </c>
      <c r="BT118" s="59">
        <v>1669000</v>
      </c>
      <c r="BU118" s="59">
        <v>1948000</v>
      </c>
      <c r="BV118" s="59">
        <v>2267000</v>
      </c>
      <c r="BW118" s="59">
        <v>2667000</v>
      </c>
      <c r="BX118" s="59">
        <v>3200000</v>
      </c>
      <c r="BY118" s="59">
        <v>3791000</v>
      </c>
      <c r="BZ118" s="59">
        <v>4231000</v>
      </c>
      <c r="CA118" s="59">
        <v>6402000</v>
      </c>
      <c r="CB118" s="59">
        <v>6634100</v>
      </c>
      <c r="CC118" s="59"/>
      <c r="CD118" s="59"/>
      <c r="CE118" s="59"/>
    </row>
    <row r="119" spans="1:88" s="30" customFormat="1" ht="12.75" customHeight="1" x14ac:dyDescent="0.55000000000000004">
      <c r="B119" s="66"/>
      <c r="C119" s="99" t="s">
        <v>267</v>
      </c>
      <c r="D119" s="87"/>
      <c r="O119" s="59">
        <v>2.4</v>
      </c>
      <c r="P119" s="59">
        <v>8.4</v>
      </c>
      <c r="Q119" s="59">
        <v>8</v>
      </c>
      <c r="R119" s="59">
        <v>8</v>
      </c>
      <c r="S119" s="59">
        <v>10</v>
      </c>
      <c r="T119" s="59">
        <v>6</v>
      </c>
      <c r="U119" s="59">
        <v>8</v>
      </c>
      <c r="V119" s="59"/>
      <c r="W119" s="59">
        <v>8.8000000000000007</v>
      </c>
      <c r="X119" s="59">
        <v>20</v>
      </c>
      <c r="Y119" s="59">
        <v>10</v>
      </c>
      <c r="Z119" s="68">
        <v>0.6</v>
      </c>
      <c r="AA119" s="68">
        <v>4.88</v>
      </c>
      <c r="AB119" s="68">
        <v>16.54</v>
      </c>
      <c r="AC119" s="68">
        <v>27</v>
      </c>
      <c r="AD119" s="68">
        <v>24</v>
      </c>
      <c r="AE119" s="68">
        <v>30</v>
      </c>
      <c r="AF119" s="68">
        <v>25.7</v>
      </c>
      <c r="AG119" s="68">
        <v>10</v>
      </c>
      <c r="AH119" s="68">
        <v>15.5</v>
      </c>
      <c r="AI119" s="59">
        <v>9.6999999999999993</v>
      </c>
      <c r="AJ119" s="59">
        <v>7.5</v>
      </c>
      <c r="AK119" s="68">
        <v>6.4</v>
      </c>
      <c r="AL119" s="68">
        <v>6.9</v>
      </c>
      <c r="AM119" s="68"/>
      <c r="AN119" s="68"/>
      <c r="AO119" s="68"/>
      <c r="AP119" s="68"/>
      <c r="AQ119" s="68">
        <v>39</v>
      </c>
      <c r="AR119" s="68">
        <v>2</v>
      </c>
      <c r="AS119" s="68">
        <v>107</v>
      </c>
      <c r="AT119" s="68">
        <v>2</v>
      </c>
      <c r="AU119" s="68">
        <v>19</v>
      </c>
      <c r="AV119" s="59">
        <v>83</v>
      </c>
      <c r="AW119" s="59">
        <v>575</v>
      </c>
      <c r="AX119" s="59">
        <v>3488</v>
      </c>
      <c r="AY119" s="59">
        <v>583</v>
      </c>
      <c r="AZ119" s="59">
        <v>4500</v>
      </c>
      <c r="BA119" s="59">
        <v>7800</v>
      </c>
      <c r="BB119" s="59">
        <v>50400</v>
      </c>
      <c r="BC119" s="59">
        <v>56200</v>
      </c>
      <c r="BD119" s="59">
        <v>5220</v>
      </c>
      <c r="BE119" s="59">
        <v>14160</v>
      </c>
      <c r="BF119" s="59">
        <v>20295</v>
      </c>
      <c r="BG119" s="59">
        <v>70184</v>
      </c>
      <c r="BH119" s="59">
        <v>153300</v>
      </c>
      <c r="BI119" s="59">
        <v>313800</v>
      </c>
      <c r="BJ119" s="59">
        <v>287500</v>
      </c>
      <c r="BK119" s="59">
        <v>248000</v>
      </c>
      <c r="BL119" s="59">
        <v>249400</v>
      </c>
      <c r="BM119" s="59">
        <v>292200</v>
      </c>
      <c r="BN119" s="59">
        <v>397700</v>
      </c>
      <c r="BO119" s="59">
        <v>407000</v>
      </c>
      <c r="BP119" s="59">
        <v>516000</v>
      </c>
      <c r="BQ119" s="59">
        <v>786000</v>
      </c>
      <c r="BR119" s="59">
        <v>715000</v>
      </c>
      <c r="BS119" s="59">
        <v>830000</v>
      </c>
      <c r="BT119" s="59">
        <v>1270000</v>
      </c>
      <c r="BU119" s="59">
        <v>1198000</v>
      </c>
      <c r="BV119" s="59">
        <v>1136000</v>
      </c>
      <c r="BW119" s="59">
        <v>957000</v>
      </c>
      <c r="BX119" s="59">
        <v>660000</v>
      </c>
      <c r="BY119" s="59">
        <v>988000</v>
      </c>
      <c r="BZ119" s="59">
        <v>1030000</v>
      </c>
      <c r="CA119" s="59">
        <v>890500</v>
      </c>
      <c r="CB119" s="59">
        <v>1129300</v>
      </c>
      <c r="CC119" s="59"/>
      <c r="CD119" s="59"/>
      <c r="CE119" s="59"/>
    </row>
    <row r="120" spans="1:88" s="88" customFormat="1" ht="12.75" customHeight="1" x14ac:dyDescent="0.55000000000000004">
      <c r="B120" s="69"/>
      <c r="C120" s="134" t="s">
        <v>364</v>
      </c>
      <c r="D120" s="91"/>
      <c r="O120" s="106">
        <v>8.120000000000001</v>
      </c>
      <c r="P120" s="106">
        <v>0</v>
      </c>
      <c r="Q120" s="106">
        <v>0.4</v>
      </c>
      <c r="R120" s="106">
        <v>6</v>
      </c>
      <c r="S120" s="106">
        <v>0</v>
      </c>
      <c r="T120" s="106">
        <v>18</v>
      </c>
      <c r="U120" s="106">
        <v>68</v>
      </c>
      <c r="V120" s="106"/>
      <c r="W120" s="106">
        <v>48</v>
      </c>
      <c r="X120" s="106">
        <v>48</v>
      </c>
      <c r="Y120" s="106">
        <v>46</v>
      </c>
      <c r="Z120" s="76">
        <f>1.8*20</f>
        <v>36</v>
      </c>
      <c r="AA120" s="76">
        <f>1.45*20</f>
        <v>29</v>
      </c>
      <c r="AB120" s="76">
        <f>1.44*20</f>
        <v>28.799999999999997</v>
      </c>
      <c r="AC120" s="76"/>
      <c r="AD120" s="76"/>
      <c r="AE120" s="76"/>
      <c r="AF120" s="76"/>
      <c r="AG120" s="76"/>
      <c r="AH120" s="76"/>
      <c r="AI120" s="106"/>
      <c r="AJ120" s="106"/>
      <c r="AK120" s="76"/>
      <c r="AL120" s="76"/>
      <c r="AM120" s="76"/>
      <c r="AN120" s="76"/>
      <c r="AO120" s="76"/>
      <c r="AP120" s="76"/>
      <c r="AQ120" s="76"/>
      <c r="AR120" s="76"/>
      <c r="AS120" s="76"/>
      <c r="AT120" s="76"/>
      <c r="AU120" s="76"/>
      <c r="AV120" s="106"/>
      <c r="AW120" s="106"/>
      <c r="AX120" s="106"/>
      <c r="AY120" s="106"/>
      <c r="AZ120" s="106"/>
      <c r="BA120" s="106"/>
      <c r="BB120" s="106"/>
      <c r="BC120" s="106"/>
      <c r="BD120" s="106"/>
      <c r="BE120" s="106"/>
      <c r="BF120" s="106"/>
      <c r="BG120" s="106"/>
      <c r="BH120" s="106"/>
      <c r="BI120" s="106"/>
      <c r="BJ120" s="106"/>
      <c r="BK120" s="106"/>
      <c r="BL120" s="106"/>
      <c r="BM120" s="106"/>
      <c r="BN120" s="106"/>
      <c r="BO120" s="106"/>
      <c r="BP120" s="106"/>
      <c r="BQ120" s="106"/>
      <c r="BR120" s="106"/>
      <c r="BS120" s="106"/>
      <c r="BT120" s="106"/>
      <c r="BU120" s="106"/>
      <c r="BV120" s="106"/>
      <c r="BW120" s="106"/>
      <c r="BX120" s="106"/>
      <c r="BY120" s="106"/>
      <c r="BZ120" s="106"/>
      <c r="CA120" s="106"/>
      <c r="CB120" s="106"/>
      <c r="CC120" s="106"/>
      <c r="CD120" s="106"/>
      <c r="CE120" s="106"/>
    </row>
    <row r="121" spans="1:88" s="4" customFormat="1" x14ac:dyDescent="0.5">
      <c r="A121" s="10"/>
      <c r="B121" s="10"/>
      <c r="C121" s="21"/>
      <c r="N121" s="24"/>
      <c r="O121" s="54"/>
      <c r="P121" s="54"/>
      <c r="Q121" s="54"/>
      <c r="R121" s="54"/>
      <c r="S121" s="54"/>
      <c r="T121" s="24"/>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BM121" s="38"/>
      <c r="BN121" s="38"/>
      <c r="BO121" s="38"/>
      <c r="BP121" s="38"/>
      <c r="BQ121" s="38"/>
      <c r="BR121" s="38"/>
      <c r="BS121" s="38"/>
      <c r="BT121" s="38"/>
      <c r="BU121" s="38"/>
      <c r="BV121" s="38"/>
      <c r="BW121" s="38"/>
      <c r="BX121" s="38"/>
      <c r="BY121" s="38"/>
      <c r="BZ121" s="38"/>
      <c r="CA121" s="38"/>
      <c r="CB121" s="38"/>
      <c r="CC121" s="38"/>
      <c r="CD121" s="38"/>
      <c r="CE121" s="38"/>
    </row>
    <row r="122" spans="1:88" s="4" customFormat="1" x14ac:dyDescent="0.5">
      <c r="A122" s="10"/>
      <c r="B122" s="10"/>
      <c r="C122" s="22" t="s">
        <v>365</v>
      </c>
      <c r="N122" s="24"/>
      <c r="O122" s="54"/>
      <c r="P122" s="54"/>
      <c r="Q122" s="54"/>
      <c r="R122" s="54"/>
      <c r="S122" s="54"/>
      <c r="T122" s="24"/>
      <c r="U122" s="38"/>
      <c r="V122" s="38"/>
      <c r="W122" s="135">
        <f>W117*19%</f>
        <v>71.972000000000008</v>
      </c>
      <c r="X122" s="135">
        <f>X117*19%</f>
        <v>76.760000000000005</v>
      </c>
      <c r="Y122" s="135">
        <f>Y117*19%</f>
        <v>83.22</v>
      </c>
      <c r="Z122" s="38">
        <f>(6.664-2.467)*20</f>
        <v>83.939999999999984</v>
      </c>
      <c r="AA122" s="38">
        <f>(7.2-2.7)*20</f>
        <v>90</v>
      </c>
      <c r="AB122" s="38">
        <v>74.040000000000006</v>
      </c>
      <c r="AC122" s="38">
        <v>75.62</v>
      </c>
      <c r="AD122" s="135">
        <f>(AC122+AE122)/2</f>
        <v>79.81</v>
      </c>
      <c r="AE122" s="38">
        <v>84</v>
      </c>
      <c r="AF122" s="38">
        <v>163.29999999999995</v>
      </c>
      <c r="AG122" s="38">
        <v>148.56000000000006</v>
      </c>
      <c r="AH122" s="38">
        <v>256.89999999999986</v>
      </c>
      <c r="AI122" s="39">
        <f>AH122*($AO122/$AH122)^(1/7)</f>
        <v>243.85963817877993</v>
      </c>
      <c r="AJ122" s="39">
        <f t="shared" ref="AJ122:AN122" si="18">AI122*($AO122/$AH122)^(1/7)</f>
        <v>231.4812111042643</v>
      </c>
      <c r="AK122" s="39">
        <f t="shared" si="18"/>
        <v>219.73111866512923</v>
      </c>
      <c r="AL122" s="39">
        <f t="shared" si="18"/>
        <v>208.57746630711173</v>
      </c>
      <c r="AM122" s="39">
        <f t="shared" si="18"/>
        <v>197.98997845815086</v>
      </c>
      <c r="AN122" s="39">
        <f t="shared" si="18"/>
        <v>187.93991634810871</v>
      </c>
      <c r="AO122" s="59">
        <v>178.4</v>
      </c>
      <c r="AP122" s="59">
        <v>196</v>
      </c>
      <c r="AQ122" s="59">
        <v>204.10000000000002</v>
      </c>
      <c r="AR122" s="135">
        <f>AQ122*($AT122/$AQ122)^(1/3)</f>
        <v>208.63195821004575</v>
      </c>
      <c r="AS122" s="135">
        <f>AR122*($AT122/$AQ122)^(1/3)</f>
        <v>213.26454672493028</v>
      </c>
      <c r="AT122" s="174">
        <v>218</v>
      </c>
      <c r="AU122" s="174">
        <v>207</v>
      </c>
      <c r="AV122" s="174">
        <v>431</v>
      </c>
      <c r="AW122" s="174">
        <v>883</v>
      </c>
      <c r="AX122" s="174">
        <v>970</v>
      </c>
      <c r="AY122" s="38"/>
      <c r="AZ122" s="38"/>
      <c r="BA122" s="38"/>
      <c r="BB122" s="38"/>
      <c r="BC122" s="38"/>
      <c r="BD122" s="38"/>
      <c r="BE122" s="38"/>
      <c r="BF122" s="38"/>
      <c r="BG122" s="38"/>
      <c r="BH122" s="38"/>
      <c r="BI122" s="38"/>
      <c r="BJ122" s="38"/>
      <c r="BK122" s="38"/>
      <c r="BL122" s="38"/>
      <c r="BM122" s="38"/>
      <c r="BN122" s="38"/>
      <c r="BO122" s="38"/>
      <c r="BP122" s="38"/>
      <c r="BQ122" s="38"/>
      <c r="BR122" s="38"/>
      <c r="BS122" s="38"/>
      <c r="BT122" s="38"/>
      <c r="BU122" s="38"/>
      <c r="BV122" s="38"/>
      <c r="BW122" s="38"/>
      <c r="BX122" s="38"/>
      <c r="BY122" s="38">
        <v>147082</v>
      </c>
      <c r="BZ122" s="38">
        <v>169568</v>
      </c>
      <c r="CA122" s="38">
        <v>220344</v>
      </c>
      <c r="CB122" s="38">
        <v>140655</v>
      </c>
      <c r="CC122" s="38"/>
      <c r="CD122" s="38"/>
      <c r="CE122" s="38"/>
    </row>
    <row r="123" spans="1:88" s="4" customFormat="1" x14ac:dyDescent="0.5">
      <c r="A123" s="10"/>
      <c r="B123" s="10"/>
      <c r="C123" s="22" t="s">
        <v>366</v>
      </c>
      <c r="N123" s="24"/>
      <c r="O123" s="54"/>
      <c r="P123" s="54"/>
      <c r="Q123" s="54"/>
      <c r="R123" s="54"/>
      <c r="S123" s="54"/>
      <c r="T123" s="24"/>
      <c r="U123" s="38"/>
      <c r="V123" s="188"/>
      <c r="W123" s="136"/>
      <c r="X123" s="136"/>
      <c r="Y123" s="136"/>
      <c r="Z123" s="188"/>
      <c r="AA123" s="188"/>
      <c r="AB123" s="188"/>
      <c r="AC123" s="188"/>
      <c r="AD123" s="136"/>
      <c r="AE123" s="188"/>
      <c r="AF123" s="188"/>
      <c r="AG123" s="188"/>
      <c r="AH123" s="188"/>
      <c r="AI123" s="189"/>
      <c r="AJ123" s="189"/>
      <c r="AK123" s="189"/>
      <c r="AL123" s="189"/>
      <c r="AM123" s="189"/>
      <c r="AN123" s="189"/>
      <c r="AO123" s="100"/>
      <c r="AP123" s="100"/>
      <c r="AQ123" s="100"/>
      <c r="AR123" s="136"/>
      <c r="AS123" s="136"/>
      <c r="AT123" s="190"/>
      <c r="AU123" s="190"/>
      <c r="AV123" s="190"/>
      <c r="AW123" s="190"/>
      <c r="AX123" s="137">
        <f>AX122/AX118</f>
        <v>3.9770397703977042E-2</v>
      </c>
      <c r="AY123" s="136">
        <v>0.04</v>
      </c>
      <c r="AZ123" s="136">
        <v>0.04</v>
      </c>
      <c r="BA123" s="136">
        <v>0.04</v>
      </c>
      <c r="BB123" s="136">
        <v>0.04</v>
      </c>
      <c r="BC123" s="136">
        <v>0.04</v>
      </c>
      <c r="BD123" s="136">
        <v>0.04</v>
      </c>
      <c r="BE123" s="136">
        <v>0.04</v>
      </c>
      <c r="BF123" s="136">
        <v>0.04</v>
      </c>
      <c r="BG123" s="136">
        <v>0.04</v>
      </c>
      <c r="BH123" s="136">
        <v>0.04</v>
      </c>
      <c r="BI123" s="136">
        <v>0.04</v>
      </c>
      <c r="BJ123" s="136">
        <v>0.04</v>
      </c>
      <c r="BK123" s="136">
        <v>0.04</v>
      </c>
      <c r="BL123" s="136">
        <v>0.04</v>
      </c>
      <c r="BM123" s="136">
        <v>0.04</v>
      </c>
      <c r="BN123" s="136">
        <v>0.04</v>
      </c>
      <c r="BO123" s="136">
        <v>0.04</v>
      </c>
      <c r="BP123" s="136">
        <v>0.04</v>
      </c>
      <c r="BQ123" s="136">
        <v>0.04</v>
      </c>
      <c r="BR123" s="136">
        <v>0.04</v>
      </c>
      <c r="BS123" s="136">
        <v>0.04</v>
      </c>
      <c r="BT123" s="136">
        <v>0.04</v>
      </c>
      <c r="BU123" s="136">
        <v>0.04</v>
      </c>
      <c r="BV123" s="136">
        <v>0.04</v>
      </c>
      <c r="BW123" s="136">
        <v>0.04</v>
      </c>
      <c r="BX123" s="136">
        <v>0.04</v>
      </c>
      <c r="BY123" s="137">
        <f>BY122/BY118</f>
        <v>3.8797678712740702E-2</v>
      </c>
      <c r="BZ123" s="137">
        <f>BZ122/BZ118</f>
        <v>4.0077523044197587E-2</v>
      </c>
      <c r="CA123" s="137">
        <f>CA122/CA118</f>
        <v>3.4417994376757265E-2</v>
      </c>
      <c r="CB123" s="137">
        <f>CB122/CB118</f>
        <v>2.1201820895072429E-2</v>
      </c>
      <c r="CC123" s="38"/>
      <c r="CD123" s="38"/>
      <c r="CE123" s="38"/>
    </row>
    <row r="124" spans="1:88" s="4" customFormat="1" x14ac:dyDescent="0.5">
      <c r="A124" s="10"/>
      <c r="B124" s="10"/>
      <c r="C124" s="21"/>
      <c r="D124" s="5"/>
      <c r="O124" s="54"/>
      <c r="P124" s="54"/>
      <c r="Q124" s="54"/>
      <c r="R124" s="54"/>
      <c r="S124" s="54"/>
      <c r="T124" s="54"/>
      <c r="U124" s="38"/>
      <c r="V124" s="38"/>
      <c r="W124" s="38"/>
      <c r="X124" s="38"/>
      <c r="Y124" s="38"/>
      <c r="Z124" s="38"/>
      <c r="AA124" s="38"/>
      <c r="AB124" s="38"/>
      <c r="AC124" s="38"/>
      <c r="AD124" s="38"/>
      <c r="AE124" s="38"/>
      <c r="AF124" s="38"/>
      <c r="AG124" s="38"/>
      <c r="AH124" s="38"/>
      <c r="AI124" s="38"/>
      <c r="AJ124" s="38"/>
      <c r="AK124" s="38"/>
      <c r="AL124" s="135"/>
      <c r="AM124" s="135"/>
      <c r="AN124" s="135"/>
      <c r="AO124" s="135"/>
      <c r="AP124" s="135"/>
      <c r="AQ124" s="135"/>
      <c r="AR124" s="135"/>
      <c r="AS124" s="135"/>
      <c r="AT124" s="135"/>
      <c r="AU124" s="135"/>
      <c r="AV124" s="135"/>
      <c r="AW124" s="135"/>
      <c r="AX124" s="135"/>
      <c r="AY124" s="135"/>
      <c r="AZ124" s="135"/>
      <c r="BA124" s="135"/>
      <c r="BB124" s="135"/>
      <c r="BC124" s="135"/>
      <c r="BD124" s="135"/>
      <c r="BE124" s="135"/>
      <c r="BF124" s="135"/>
      <c r="BG124" s="135"/>
      <c r="BH124" s="135"/>
      <c r="BI124" s="38"/>
      <c r="BJ124" s="38"/>
      <c r="BK124" s="38"/>
      <c r="BL124" s="38"/>
      <c r="BM124" s="38"/>
      <c r="BN124" s="38"/>
      <c r="BO124" s="38"/>
      <c r="BP124" s="38"/>
      <c r="BQ124" s="38"/>
      <c r="BR124" s="38"/>
      <c r="BS124" s="38"/>
      <c r="BT124" s="38"/>
      <c r="BU124" s="38"/>
      <c r="BV124" s="38"/>
      <c r="BW124" s="38"/>
      <c r="BX124" s="38"/>
      <c r="BY124" s="38"/>
      <c r="BZ124" s="38"/>
      <c r="CA124" s="38"/>
      <c r="CB124" s="38"/>
      <c r="CC124" s="38"/>
      <c r="CD124" s="38"/>
      <c r="CE124" s="38"/>
    </row>
    <row r="125" spans="1:88" s="30" customFormat="1" ht="12.75" customHeight="1" x14ac:dyDescent="0.55000000000000004">
      <c r="B125" s="66"/>
      <c r="C125" s="99" t="s">
        <v>367</v>
      </c>
      <c r="D125" s="93"/>
      <c r="O125" s="90">
        <v>89.48</v>
      </c>
      <c r="P125" s="90">
        <v>130.6</v>
      </c>
      <c r="Q125" s="90">
        <v>133.74</v>
      </c>
      <c r="R125" s="90">
        <v>160</v>
      </c>
      <c r="S125" s="90">
        <v>246.9</v>
      </c>
      <c r="T125" s="90">
        <v>319.02</v>
      </c>
      <c r="U125" s="68">
        <v>348.62</v>
      </c>
      <c r="V125" s="68"/>
      <c r="W125" s="68">
        <v>379.34</v>
      </c>
      <c r="X125" s="68">
        <v>459.94</v>
      </c>
      <c r="Y125" s="68">
        <v>480.16</v>
      </c>
      <c r="Z125" s="68">
        <v>510.36</v>
      </c>
      <c r="AA125" s="68">
        <v>513.67999999999995</v>
      </c>
      <c r="AB125" s="68">
        <v>497.92</v>
      </c>
      <c r="AC125" s="68">
        <v>538.79999999999995</v>
      </c>
      <c r="AD125" s="68">
        <v>599.5</v>
      </c>
      <c r="AE125" s="68">
        <v>639.5</v>
      </c>
      <c r="AF125" s="68">
        <v>709</v>
      </c>
      <c r="AG125" s="68">
        <v>951</v>
      </c>
      <c r="AH125" s="68">
        <v>1045</v>
      </c>
      <c r="AI125" s="68">
        <v>1082</v>
      </c>
      <c r="AJ125" s="59">
        <v>1123</v>
      </c>
      <c r="AK125" s="59">
        <v>1386</v>
      </c>
      <c r="AL125" s="133">
        <v>1576</v>
      </c>
      <c r="AM125" s="133">
        <v>1991</v>
      </c>
      <c r="AN125" s="133">
        <f>AN126+AN130</f>
        <v>2437</v>
      </c>
      <c r="AO125" s="133">
        <f>AO126+AO130</f>
        <v>2104</v>
      </c>
      <c r="AP125" s="59">
        <v>2662</v>
      </c>
      <c r="AQ125" s="59">
        <v>3261</v>
      </c>
      <c r="AR125" s="59">
        <v>3781</v>
      </c>
      <c r="AS125" s="59">
        <v>4669</v>
      </c>
      <c r="AT125" s="59">
        <v>5868</v>
      </c>
      <c r="AU125" s="59">
        <v>4475</v>
      </c>
      <c r="AV125" s="59">
        <v>7950</v>
      </c>
      <c r="AW125" s="59">
        <v>13071</v>
      </c>
      <c r="AX125" s="59">
        <v>53520</v>
      </c>
      <c r="AY125" s="59">
        <v>72110</v>
      </c>
      <c r="AZ125" s="59">
        <v>115400</v>
      </c>
      <c r="BA125" s="59">
        <v>239800</v>
      </c>
      <c r="BB125" s="59">
        <v>472300</v>
      </c>
      <c r="BC125" s="59">
        <v>1143300</v>
      </c>
      <c r="BD125" s="59">
        <v>42050</v>
      </c>
      <c r="BE125" s="59">
        <v>91596</v>
      </c>
      <c r="BF125" s="59">
        <v>174928</v>
      </c>
      <c r="BG125" s="59">
        <v>267308</v>
      </c>
      <c r="BH125" s="59">
        <v>581495</v>
      </c>
      <c r="BI125" s="59">
        <v>718342</v>
      </c>
      <c r="BJ125" s="59">
        <v>816771</v>
      </c>
      <c r="BK125" s="59">
        <v>898216</v>
      </c>
      <c r="BL125" s="59">
        <v>990800</v>
      </c>
      <c r="BM125" s="59">
        <v>1116900</v>
      </c>
      <c r="BN125" s="59">
        <v>1233500</v>
      </c>
      <c r="BO125" s="59">
        <v>1578700</v>
      </c>
      <c r="BP125" s="59">
        <v>2385800</v>
      </c>
      <c r="BQ125" s="59">
        <v>2207000</v>
      </c>
      <c r="BR125" s="59">
        <v>2514000</v>
      </c>
      <c r="BS125" s="59">
        <v>2787000</v>
      </c>
      <c r="BT125" s="59">
        <v>3135000</v>
      </c>
      <c r="BU125" s="59">
        <v>3271600</v>
      </c>
      <c r="BV125" s="59">
        <v>3532000</v>
      </c>
      <c r="BW125" s="59">
        <v>4376000</v>
      </c>
      <c r="BX125" s="59">
        <v>4384000</v>
      </c>
      <c r="BY125" s="59">
        <v>5205000</v>
      </c>
      <c r="BZ125" s="59">
        <v>6836000</v>
      </c>
      <c r="CA125" s="59">
        <v>7408500</v>
      </c>
      <c r="CB125" s="59">
        <v>7176900</v>
      </c>
      <c r="CC125" s="59">
        <v>7454200</v>
      </c>
      <c r="CD125" s="59">
        <v>8582900</v>
      </c>
      <c r="CE125" s="59">
        <v>9698400</v>
      </c>
    </row>
    <row r="126" spans="1:88" s="30" customFormat="1" ht="12.75" customHeight="1" x14ac:dyDescent="0.55000000000000004">
      <c r="B126" s="66"/>
      <c r="C126" s="94" t="s">
        <v>368</v>
      </c>
      <c r="D126" s="87"/>
      <c r="O126" s="66">
        <v>72</v>
      </c>
      <c r="P126" s="66">
        <v>98</v>
      </c>
      <c r="Q126" s="66">
        <v>96</v>
      </c>
      <c r="R126" s="66">
        <v>102</v>
      </c>
      <c r="S126" s="66">
        <v>144</v>
      </c>
      <c r="T126" s="66">
        <v>184</v>
      </c>
      <c r="U126" s="68">
        <v>204</v>
      </c>
      <c r="V126" s="68"/>
      <c r="W126" s="68">
        <v>253.33999999999997</v>
      </c>
      <c r="X126" s="68">
        <v>322</v>
      </c>
      <c r="Y126" s="68">
        <v>338</v>
      </c>
      <c r="Z126" s="68">
        <v>376</v>
      </c>
      <c r="AA126" s="68">
        <v>404</v>
      </c>
      <c r="AB126" s="68">
        <v>388</v>
      </c>
      <c r="AC126" s="68">
        <v>434</v>
      </c>
      <c r="AD126" s="68">
        <v>503</v>
      </c>
      <c r="AE126" s="68">
        <v>554</v>
      </c>
      <c r="AF126" s="68">
        <v>591</v>
      </c>
      <c r="AG126" s="68">
        <v>735</v>
      </c>
      <c r="AH126" s="68">
        <v>812</v>
      </c>
      <c r="AI126" s="68">
        <v>861</v>
      </c>
      <c r="AJ126" s="68">
        <f>AJ125-AJ130</f>
        <v>977</v>
      </c>
      <c r="AK126" s="68">
        <f t="shared" ref="AK126:AM126" si="19">AK125-AK130</f>
        <v>1087</v>
      </c>
      <c r="AL126" s="68">
        <f t="shared" si="19"/>
        <v>1212</v>
      </c>
      <c r="AM126" s="68">
        <f t="shared" si="19"/>
        <v>1531</v>
      </c>
      <c r="AN126" s="59">
        <v>1491</v>
      </c>
      <c r="AO126" s="59">
        <v>1531</v>
      </c>
      <c r="AP126" s="59">
        <v>2027</v>
      </c>
      <c r="AQ126" s="59">
        <v>2429</v>
      </c>
      <c r="AR126" s="59">
        <v>2955</v>
      </c>
      <c r="AS126" s="59">
        <v>3632</v>
      </c>
      <c r="AT126" s="59">
        <v>4113</v>
      </c>
      <c r="AU126" s="59">
        <v>4759</v>
      </c>
      <c r="AV126" s="59">
        <v>6637</v>
      </c>
      <c r="AW126" s="59">
        <v>12021</v>
      </c>
      <c r="AX126" s="59">
        <v>30820</v>
      </c>
      <c r="AY126" s="59">
        <v>53610</v>
      </c>
      <c r="AZ126" s="59">
        <v>69500</v>
      </c>
      <c r="BA126" s="59">
        <v>156900</v>
      </c>
      <c r="BB126" s="59">
        <v>351700</v>
      </c>
      <c r="BC126" s="59">
        <v>729000</v>
      </c>
      <c r="BD126" s="59">
        <v>24750</v>
      </c>
      <c r="BE126" s="59">
        <v>60870</v>
      </c>
      <c r="BF126" s="59">
        <v>98296</v>
      </c>
      <c r="BG126" s="59">
        <v>128723</v>
      </c>
      <c r="BH126" s="59">
        <v>323017</v>
      </c>
      <c r="BI126" s="59">
        <v>323452</v>
      </c>
      <c r="BJ126" s="59">
        <v>390566</v>
      </c>
      <c r="BK126" s="59">
        <v>493169</v>
      </c>
      <c r="BL126" s="59">
        <v>553800</v>
      </c>
      <c r="BM126" s="59">
        <v>667600</v>
      </c>
      <c r="BN126" s="59">
        <v>728000</v>
      </c>
      <c r="BO126" s="59">
        <v>870200</v>
      </c>
      <c r="BP126" s="59">
        <v>973600</v>
      </c>
      <c r="BQ126" s="59">
        <v>1138000</v>
      </c>
      <c r="BR126" s="59">
        <v>1420000</v>
      </c>
      <c r="BS126" s="59">
        <v>1565000</v>
      </c>
      <c r="BT126" s="59">
        <v>1865000</v>
      </c>
      <c r="BU126" s="59">
        <v>1978500</v>
      </c>
      <c r="BV126" s="59">
        <v>2233000</v>
      </c>
      <c r="BW126" s="59">
        <v>2442000</v>
      </c>
      <c r="BX126" s="59">
        <v>2881000</v>
      </c>
      <c r="BY126" s="59">
        <v>3291000</v>
      </c>
      <c r="BZ126" s="59">
        <v>4308000</v>
      </c>
      <c r="CA126" s="59"/>
      <c r="CB126" s="59"/>
      <c r="CC126" s="59"/>
      <c r="CD126" s="59"/>
      <c r="CE126" s="59"/>
      <c r="CH126" s="59"/>
      <c r="CJ126" s="93"/>
    </row>
    <row r="127" spans="1:88" s="30" customFormat="1" ht="12.75" customHeight="1" x14ac:dyDescent="0.55000000000000004">
      <c r="B127" s="69"/>
      <c r="C127" s="95" t="s">
        <v>122</v>
      </c>
      <c r="D127" s="87"/>
      <c r="O127" s="66"/>
      <c r="P127" s="66"/>
      <c r="Q127" s="66"/>
      <c r="R127" s="66"/>
      <c r="S127" s="66"/>
      <c r="T127" s="66"/>
      <c r="U127" s="68"/>
      <c r="V127" s="68"/>
      <c r="W127" s="68"/>
      <c r="X127" s="68"/>
      <c r="Y127" s="68"/>
      <c r="Z127" s="68"/>
      <c r="AA127" s="68"/>
      <c r="AB127" s="68"/>
      <c r="AC127" s="68"/>
      <c r="AD127" s="68">
        <v>207</v>
      </c>
      <c r="AE127" s="68">
        <v>182</v>
      </c>
      <c r="AF127" s="68">
        <v>195</v>
      </c>
      <c r="AG127" s="68">
        <v>235</v>
      </c>
      <c r="AH127" s="68">
        <v>266</v>
      </c>
      <c r="AI127" s="68">
        <v>294.7</v>
      </c>
      <c r="AJ127" s="59">
        <v>377</v>
      </c>
      <c r="AK127" s="59">
        <v>444</v>
      </c>
      <c r="AL127" s="68">
        <v>500</v>
      </c>
      <c r="AM127" s="59">
        <v>650</v>
      </c>
      <c r="AN127" s="59">
        <v>669.9</v>
      </c>
      <c r="AO127" s="59">
        <v>631.9</v>
      </c>
      <c r="AP127" s="174">
        <v>810.80000000000007</v>
      </c>
      <c r="AQ127" s="174">
        <v>971.6</v>
      </c>
      <c r="AR127" s="174">
        <v>1182</v>
      </c>
      <c r="AS127" s="174">
        <v>1452.8000000000002</v>
      </c>
      <c r="AT127" s="174">
        <v>1645.2</v>
      </c>
      <c r="AU127" s="59">
        <v>1761</v>
      </c>
      <c r="AV127" s="59">
        <v>2456</v>
      </c>
      <c r="AW127" s="59">
        <v>5109</v>
      </c>
      <c r="AX127" s="59">
        <v>6410</v>
      </c>
      <c r="AY127" s="59">
        <v>7010</v>
      </c>
      <c r="AZ127" s="59">
        <v>12600</v>
      </c>
      <c r="BA127" s="59">
        <v>44100</v>
      </c>
      <c r="BB127" s="59">
        <v>53500</v>
      </c>
      <c r="BC127" s="59">
        <v>115900</v>
      </c>
      <c r="BD127" s="59">
        <v>3700</v>
      </c>
      <c r="BE127" s="59">
        <v>9778</v>
      </c>
      <c r="BF127" s="59">
        <v>12973</v>
      </c>
      <c r="BG127" s="59">
        <v>24132</v>
      </c>
      <c r="BH127" s="59">
        <v>47846</v>
      </c>
      <c r="BI127" s="59">
        <v>62691</v>
      </c>
      <c r="BJ127" s="59">
        <v>84427</v>
      </c>
      <c r="BK127" s="59">
        <v>135500</v>
      </c>
      <c r="BL127" s="59">
        <v>167400</v>
      </c>
      <c r="BM127" s="59">
        <v>227000</v>
      </c>
      <c r="BN127" s="59">
        <v>255800</v>
      </c>
      <c r="BO127" s="59">
        <v>341200</v>
      </c>
      <c r="BP127" s="59">
        <v>373900</v>
      </c>
      <c r="BQ127" s="59">
        <v>434000</v>
      </c>
      <c r="BR127" s="59">
        <v>549000</v>
      </c>
      <c r="BS127" s="59">
        <v>611000</v>
      </c>
      <c r="BT127" s="59">
        <v>683000</v>
      </c>
      <c r="BU127" s="59">
        <v>774200</v>
      </c>
      <c r="BV127" s="59">
        <v>867000</v>
      </c>
      <c r="BW127" s="59">
        <v>987000</v>
      </c>
      <c r="BX127" s="59">
        <v>1106000</v>
      </c>
      <c r="BY127" s="59">
        <v>1184000</v>
      </c>
      <c r="BZ127" s="59">
        <v>1308000</v>
      </c>
      <c r="CA127" s="59">
        <v>985000</v>
      </c>
      <c r="CB127" s="59">
        <v>1199000</v>
      </c>
      <c r="CC127" s="59">
        <v>1403200</v>
      </c>
      <c r="CD127" s="59">
        <v>1516300</v>
      </c>
      <c r="CE127" s="59">
        <v>1762900</v>
      </c>
      <c r="CH127" s="59"/>
      <c r="CJ127" s="87"/>
    </row>
    <row r="128" spans="1:88" s="30" customFormat="1" ht="12.75" customHeight="1" x14ac:dyDescent="0.55000000000000004">
      <c r="B128" s="69"/>
      <c r="C128" s="138" t="s">
        <v>369</v>
      </c>
      <c r="D128" s="87"/>
      <c r="O128" s="66"/>
      <c r="P128" s="66"/>
      <c r="Q128" s="66"/>
      <c r="R128" s="66"/>
      <c r="S128" s="66"/>
      <c r="T128" s="90"/>
      <c r="U128" s="68"/>
      <c r="V128" s="68"/>
      <c r="W128" s="68"/>
      <c r="X128" s="68"/>
      <c r="Y128" s="68"/>
      <c r="Z128" s="68"/>
      <c r="AA128" s="68"/>
      <c r="AB128" s="68"/>
      <c r="AC128" s="68"/>
      <c r="AD128" s="68"/>
      <c r="AE128" s="68"/>
      <c r="AF128" s="68"/>
      <c r="AG128" s="68"/>
      <c r="AH128" s="68"/>
      <c r="AI128" s="68"/>
      <c r="AJ128" s="59"/>
      <c r="AK128" s="59"/>
      <c r="AL128" s="68"/>
      <c r="AM128" s="59"/>
      <c r="AN128" s="59"/>
      <c r="AO128" s="59"/>
      <c r="AP128" s="59"/>
      <c r="AQ128" s="59"/>
      <c r="AR128" s="59"/>
      <c r="AS128" s="59"/>
      <c r="AT128" s="59"/>
      <c r="AU128" s="59"/>
      <c r="AV128" s="59"/>
      <c r="AW128" s="59"/>
      <c r="AX128" s="59"/>
      <c r="AY128" s="59"/>
      <c r="AZ128" s="59"/>
      <c r="BA128" s="59"/>
      <c r="BB128" s="59"/>
      <c r="BC128" s="59"/>
      <c r="BD128" s="59"/>
      <c r="BE128" s="59"/>
      <c r="BF128" s="59"/>
      <c r="BG128" s="59"/>
      <c r="BH128" s="59"/>
      <c r="BI128" s="59">
        <v>13500</v>
      </c>
      <c r="BJ128" s="59">
        <v>16300</v>
      </c>
      <c r="BK128" s="59">
        <v>28000</v>
      </c>
      <c r="BL128" s="59">
        <v>25100</v>
      </c>
      <c r="BM128" s="59"/>
      <c r="BN128" s="59">
        <v>30000</v>
      </c>
      <c r="BO128" s="59">
        <v>68000</v>
      </c>
      <c r="BP128" s="59">
        <v>101000</v>
      </c>
      <c r="BQ128" s="59">
        <v>116000</v>
      </c>
      <c r="BR128" s="59">
        <v>118000</v>
      </c>
      <c r="BS128" s="59">
        <v>125000</v>
      </c>
      <c r="BT128" s="59">
        <v>128000</v>
      </c>
      <c r="BU128" s="59">
        <v>974000</v>
      </c>
      <c r="BV128" s="59">
        <v>1117000</v>
      </c>
      <c r="BW128" s="59">
        <v>122000</v>
      </c>
      <c r="BX128" s="59"/>
      <c r="BY128" s="59"/>
      <c r="BZ128" s="59"/>
      <c r="CA128" s="59"/>
      <c r="CB128" s="59"/>
      <c r="CC128" s="59"/>
      <c r="CD128" s="59"/>
      <c r="CE128" s="59"/>
      <c r="CH128" s="59"/>
      <c r="CJ128" s="87"/>
    </row>
    <row r="129" spans="1:88" s="30" customFormat="1" ht="12.75" customHeight="1" x14ac:dyDescent="0.55000000000000004">
      <c r="B129" s="66"/>
      <c r="C129" s="95" t="s">
        <v>280</v>
      </c>
      <c r="D129" s="87"/>
      <c r="O129" s="66"/>
      <c r="P129" s="66"/>
      <c r="Q129" s="66"/>
      <c r="R129" s="66"/>
      <c r="S129" s="66"/>
      <c r="T129" s="90"/>
      <c r="U129" s="68"/>
      <c r="V129" s="68"/>
      <c r="W129" s="68"/>
      <c r="X129" s="68"/>
      <c r="Y129" s="68"/>
      <c r="Z129" s="68"/>
      <c r="AA129" s="68"/>
      <c r="AB129" s="68"/>
      <c r="AC129" s="68"/>
      <c r="AD129" s="68">
        <v>4.3</v>
      </c>
      <c r="AE129" s="68">
        <v>5</v>
      </c>
      <c r="AF129" s="68">
        <v>7</v>
      </c>
      <c r="AG129" s="68">
        <v>9</v>
      </c>
      <c r="AH129" s="68">
        <v>17</v>
      </c>
      <c r="AI129" s="68">
        <v>21</v>
      </c>
      <c r="AJ129" s="59">
        <v>23</v>
      </c>
      <c r="AK129" s="59">
        <v>27</v>
      </c>
      <c r="AL129" s="68">
        <v>53</v>
      </c>
      <c r="AM129" s="59">
        <v>65</v>
      </c>
      <c r="AN129" s="59">
        <v>104.60000000000001</v>
      </c>
      <c r="AO129" s="59">
        <v>126.2</v>
      </c>
      <c r="AP129" s="59">
        <v>393</v>
      </c>
      <c r="AQ129" s="59">
        <v>383</v>
      </c>
      <c r="AR129" s="59">
        <v>372</v>
      </c>
      <c r="AS129" s="59">
        <v>310</v>
      </c>
      <c r="AT129" s="59">
        <v>448</v>
      </c>
      <c r="AU129" s="59">
        <v>622</v>
      </c>
      <c r="AV129" s="173">
        <v>236</v>
      </c>
      <c r="AW129" s="173">
        <v>511</v>
      </c>
      <c r="AX129" s="59">
        <v>1140</v>
      </c>
      <c r="AY129" s="59">
        <v>7200</v>
      </c>
      <c r="AZ129" s="59">
        <v>16500</v>
      </c>
      <c r="BA129" s="59">
        <v>25800</v>
      </c>
      <c r="BB129" s="59">
        <v>56400</v>
      </c>
      <c r="BC129" s="59">
        <v>56400</v>
      </c>
      <c r="BD129" s="59">
        <v>2310</v>
      </c>
      <c r="BE129" s="59">
        <v>5800</v>
      </c>
      <c r="BF129" s="59">
        <v>8557</v>
      </c>
      <c r="BG129" s="59">
        <v>18656</v>
      </c>
      <c r="BH129" s="59">
        <v>90093</v>
      </c>
      <c r="BI129" s="59">
        <v>69286</v>
      </c>
      <c r="BJ129" s="59">
        <v>63677</v>
      </c>
      <c r="BK129" s="59">
        <v>53362</v>
      </c>
      <c r="BL129" s="59">
        <v>59000</v>
      </c>
      <c r="BM129" s="59">
        <v>62900</v>
      </c>
      <c r="BN129" s="59">
        <v>74800</v>
      </c>
      <c r="BO129" s="59">
        <v>75300</v>
      </c>
      <c r="BP129" s="59">
        <v>95100</v>
      </c>
      <c r="BQ129" s="59">
        <v>125000</v>
      </c>
      <c r="BR129" s="59">
        <v>141000</v>
      </c>
      <c r="BS129" s="59">
        <v>173000</v>
      </c>
      <c r="BT129" s="59">
        <v>262000</v>
      </c>
      <c r="BU129" s="59">
        <v>229500</v>
      </c>
      <c r="BV129" s="59">
        <v>249000</v>
      </c>
      <c r="BW129" s="59">
        <v>236000</v>
      </c>
      <c r="BX129" s="59">
        <v>309000</v>
      </c>
      <c r="BY129" s="59">
        <v>357000</v>
      </c>
      <c r="BZ129" s="59">
        <v>386000</v>
      </c>
      <c r="CA129" s="59">
        <v>423500</v>
      </c>
      <c r="CB129" s="59">
        <v>603300</v>
      </c>
      <c r="CC129" s="59">
        <v>889700</v>
      </c>
      <c r="CD129" s="59">
        <v>970100</v>
      </c>
      <c r="CE129" s="59">
        <v>1213000</v>
      </c>
      <c r="CH129" s="59"/>
      <c r="CJ129" s="87"/>
    </row>
    <row r="130" spans="1:88" s="30" customFormat="1" ht="12.75" customHeight="1" x14ac:dyDescent="0.55000000000000004">
      <c r="B130" s="66"/>
      <c r="C130" s="94" t="s">
        <v>370</v>
      </c>
      <c r="D130" s="87"/>
      <c r="O130" s="66">
        <v>17.600000000000001</v>
      </c>
      <c r="P130" s="66">
        <v>32</v>
      </c>
      <c r="Q130" s="66">
        <v>38</v>
      </c>
      <c r="R130" s="66">
        <v>58</v>
      </c>
      <c r="S130" s="66">
        <v>102</v>
      </c>
      <c r="T130" s="66">
        <v>136</v>
      </c>
      <c r="U130" s="68">
        <v>146</v>
      </c>
      <c r="V130" s="68"/>
      <c r="W130" s="68">
        <v>126</v>
      </c>
      <c r="X130" s="68">
        <v>138</v>
      </c>
      <c r="Y130" s="68">
        <v>142</v>
      </c>
      <c r="Z130" s="68">
        <v>134</v>
      </c>
      <c r="AA130" s="68">
        <v>110</v>
      </c>
      <c r="AB130" s="68">
        <v>110</v>
      </c>
      <c r="AC130" s="68">
        <v>106</v>
      </c>
      <c r="AD130" s="68">
        <v>96</v>
      </c>
      <c r="AE130" s="68">
        <v>86</v>
      </c>
      <c r="AF130" s="68">
        <v>118</v>
      </c>
      <c r="AG130" s="68">
        <v>216</v>
      </c>
      <c r="AH130" s="68">
        <v>233</v>
      </c>
      <c r="AI130" s="68">
        <v>222</v>
      </c>
      <c r="AJ130" s="68">
        <v>146</v>
      </c>
      <c r="AK130" s="59">
        <v>299</v>
      </c>
      <c r="AL130" s="59">
        <v>364</v>
      </c>
      <c r="AM130" s="59">
        <v>460</v>
      </c>
      <c r="AN130" s="59">
        <v>946</v>
      </c>
      <c r="AO130" s="59">
        <v>573</v>
      </c>
      <c r="AP130" s="59">
        <v>635</v>
      </c>
      <c r="AQ130" s="59">
        <v>832</v>
      </c>
      <c r="AR130" s="59">
        <v>826</v>
      </c>
      <c r="AS130" s="59">
        <v>1037</v>
      </c>
      <c r="AT130" s="59">
        <v>1755</v>
      </c>
      <c r="AU130" s="59">
        <v>1210</v>
      </c>
      <c r="AV130" s="59">
        <v>1052</v>
      </c>
      <c r="AW130" s="59">
        <v>2037</v>
      </c>
      <c r="AX130" s="59">
        <v>7375</v>
      </c>
      <c r="AY130" s="59">
        <v>6500</v>
      </c>
      <c r="AZ130" s="59">
        <v>12900</v>
      </c>
      <c r="BA130" s="59">
        <v>34900</v>
      </c>
      <c r="BB130" s="59">
        <v>120600</v>
      </c>
      <c r="BC130" s="59">
        <v>414300</v>
      </c>
      <c r="BD130" s="59">
        <v>17300</v>
      </c>
      <c r="BE130" s="59">
        <v>28800</v>
      </c>
      <c r="BF130" s="59">
        <v>76632</v>
      </c>
      <c r="BG130" s="59">
        <v>134085</v>
      </c>
      <c r="BH130" s="59">
        <v>249978</v>
      </c>
      <c r="BI130" s="59">
        <v>393690</v>
      </c>
      <c r="BJ130" s="59">
        <v>423405</v>
      </c>
      <c r="BK130" s="59">
        <v>393700</v>
      </c>
      <c r="BL130" s="59">
        <v>429800</v>
      </c>
      <c r="BM130" s="59">
        <v>447300</v>
      </c>
      <c r="BN130" s="59">
        <v>502500</v>
      </c>
      <c r="BO130" s="59">
        <v>590500</v>
      </c>
      <c r="BP130" s="59">
        <v>783300</v>
      </c>
      <c r="BQ130" s="59">
        <v>939000</v>
      </c>
      <c r="BR130" s="59">
        <v>979000</v>
      </c>
      <c r="BS130" s="59">
        <v>1168000</v>
      </c>
      <c r="BT130" s="59">
        <v>1189000</v>
      </c>
      <c r="BU130" s="59">
        <v>1227300</v>
      </c>
      <c r="BV130" s="59">
        <v>1238000</v>
      </c>
      <c r="BW130" s="59">
        <v>1682000</v>
      </c>
      <c r="BX130" s="59">
        <v>1362000</v>
      </c>
      <c r="BY130" s="59">
        <v>1688000</v>
      </c>
      <c r="BZ130" s="59">
        <v>2312000</v>
      </c>
      <c r="CA130" s="59"/>
      <c r="CB130" s="59"/>
      <c r="CC130" s="59"/>
      <c r="CD130" s="59"/>
      <c r="CE130" s="59"/>
    </row>
    <row r="131" spans="1:88" s="30" customFormat="1" ht="12.75" customHeight="1" x14ac:dyDescent="0.55000000000000004">
      <c r="B131" s="66"/>
      <c r="C131" s="94" t="s">
        <v>371</v>
      </c>
      <c r="D131" s="87"/>
      <c r="T131" s="85"/>
      <c r="U131" s="59"/>
      <c r="V131" s="59"/>
      <c r="W131" s="59"/>
      <c r="X131" s="59"/>
      <c r="Y131" s="59"/>
      <c r="Z131" s="59"/>
      <c r="AA131" s="59"/>
      <c r="AB131" s="59"/>
      <c r="AC131" s="59"/>
      <c r="AD131" s="59"/>
      <c r="AE131" s="59"/>
      <c r="AF131" s="59"/>
      <c r="AG131" s="59"/>
      <c r="AH131" s="59"/>
      <c r="AI131" s="59"/>
      <c r="AJ131" s="59"/>
      <c r="AK131" s="59"/>
      <c r="AL131" s="59"/>
      <c r="AM131" s="59"/>
      <c r="AN131" s="59"/>
      <c r="AO131" s="59"/>
      <c r="AP131" s="59"/>
      <c r="AQ131" s="59"/>
      <c r="AR131" s="59"/>
      <c r="AS131" s="59"/>
      <c r="AT131" s="59"/>
      <c r="AU131" s="59">
        <v>-1494</v>
      </c>
      <c r="AV131" s="59">
        <v>261</v>
      </c>
      <c r="AW131" s="59">
        <v>-987</v>
      </c>
      <c r="AX131" s="59">
        <v>15380</v>
      </c>
      <c r="AY131" s="59">
        <v>12000</v>
      </c>
      <c r="AZ131" s="59">
        <v>33000</v>
      </c>
      <c r="BA131" s="59">
        <v>48000</v>
      </c>
      <c r="BB131" s="59">
        <v>0</v>
      </c>
      <c r="BC131" s="59">
        <v>0</v>
      </c>
      <c r="BD131" s="59">
        <v>0</v>
      </c>
      <c r="BE131" s="59">
        <v>1926</v>
      </c>
      <c r="BF131" s="59"/>
      <c r="BG131" s="59">
        <v>4500</v>
      </c>
      <c r="BH131" s="59">
        <v>8500</v>
      </c>
      <c r="BI131" s="59">
        <v>1200</v>
      </c>
      <c r="BJ131" s="59">
        <v>2800</v>
      </c>
      <c r="BK131" s="59">
        <v>11347</v>
      </c>
      <c r="BL131" s="59">
        <v>7200</v>
      </c>
      <c r="BM131" s="59">
        <v>2000</v>
      </c>
      <c r="BN131" s="59">
        <v>3000</v>
      </c>
      <c r="BO131" s="59">
        <v>118000</v>
      </c>
      <c r="BP131" s="59">
        <v>628900</v>
      </c>
      <c r="BQ131" s="59">
        <v>130000</v>
      </c>
      <c r="BR131" s="59">
        <v>115000</v>
      </c>
      <c r="BS131" s="59">
        <v>54000</v>
      </c>
      <c r="BT131" s="59">
        <v>81000</v>
      </c>
      <c r="BU131" s="59"/>
      <c r="BV131" s="59"/>
      <c r="BW131" s="59"/>
      <c r="BX131" s="59"/>
      <c r="BY131" s="59"/>
      <c r="BZ131" s="59"/>
      <c r="CA131" s="59">
        <v>455400</v>
      </c>
      <c r="CB131" s="59">
        <v>403400</v>
      </c>
      <c r="CC131" s="59">
        <v>544100</v>
      </c>
      <c r="CD131" s="59">
        <v>643400</v>
      </c>
      <c r="CE131" s="59">
        <v>482400</v>
      </c>
    </row>
    <row r="132" spans="1:88" s="30" customFormat="1" ht="12.75" customHeight="1" x14ac:dyDescent="0.55000000000000004">
      <c r="B132" s="66"/>
      <c r="C132" s="95" t="s">
        <v>372</v>
      </c>
      <c r="D132" s="87"/>
      <c r="T132" s="85"/>
      <c r="U132" s="59"/>
      <c r="V132" s="59"/>
      <c r="W132" s="59"/>
      <c r="X132" s="59"/>
      <c r="Y132" s="59"/>
      <c r="Z132" s="59"/>
      <c r="AA132" s="59"/>
      <c r="AB132" s="59"/>
      <c r="AC132" s="59"/>
      <c r="AD132" s="59"/>
      <c r="AE132" s="59"/>
      <c r="AF132" s="59"/>
      <c r="AG132" s="59"/>
      <c r="AH132" s="59"/>
      <c r="AI132" s="59"/>
      <c r="AJ132" s="59"/>
      <c r="AK132" s="59"/>
      <c r="AL132" s="59"/>
      <c r="AM132" s="59"/>
      <c r="AN132" s="59"/>
      <c r="AO132" s="59"/>
      <c r="AP132" s="59"/>
      <c r="AQ132" s="59"/>
      <c r="AR132" s="59"/>
      <c r="AS132" s="59"/>
      <c r="AT132" s="59"/>
      <c r="AU132" s="59"/>
      <c r="AV132" s="59"/>
      <c r="AW132" s="59"/>
      <c r="AX132" s="59">
        <v>5490</v>
      </c>
      <c r="AY132" s="59">
        <v>4840</v>
      </c>
      <c r="AZ132" s="59">
        <v>9680</v>
      </c>
      <c r="BA132" s="59">
        <v>26160</v>
      </c>
      <c r="BB132" s="59">
        <v>49600</v>
      </c>
      <c r="BC132" s="59">
        <v>230700</v>
      </c>
      <c r="BD132" s="59">
        <v>9550</v>
      </c>
      <c r="BE132" s="59">
        <v>18037</v>
      </c>
      <c r="BF132" s="59">
        <v>42804</v>
      </c>
      <c r="BG132" s="59">
        <v>82015</v>
      </c>
      <c r="BH132" s="59">
        <v>213272</v>
      </c>
      <c r="BI132" s="59">
        <v>357926</v>
      </c>
      <c r="BJ132" s="59">
        <v>383600</v>
      </c>
      <c r="BK132" s="59">
        <v>352700</v>
      </c>
      <c r="BL132" s="59">
        <v>361100</v>
      </c>
      <c r="BM132" s="59">
        <v>371500</v>
      </c>
      <c r="BN132" s="59">
        <v>413000</v>
      </c>
      <c r="BO132" s="59">
        <v>446000</v>
      </c>
      <c r="BP132" s="59">
        <v>520000</v>
      </c>
      <c r="BQ132" s="59">
        <v>604000</v>
      </c>
      <c r="BR132" s="59">
        <v>547000</v>
      </c>
      <c r="BS132" s="59">
        <v>672000</v>
      </c>
      <c r="BT132" s="59">
        <v>750000</v>
      </c>
      <c r="BU132" s="59">
        <v>700000</v>
      </c>
      <c r="BV132" s="59">
        <v>730000</v>
      </c>
      <c r="BW132" s="59">
        <v>503000</v>
      </c>
      <c r="BX132" s="59">
        <v>689800</v>
      </c>
      <c r="BY132" s="59">
        <v>450100</v>
      </c>
      <c r="BZ132" s="59">
        <v>887000</v>
      </c>
      <c r="CA132" s="59">
        <v>1042000</v>
      </c>
      <c r="CB132" s="59"/>
      <c r="CC132" s="59"/>
      <c r="CD132" s="59"/>
      <c r="CE132" s="59"/>
    </row>
    <row r="133" spans="1:88" s="30" customFormat="1" ht="12.75" customHeight="1" x14ac:dyDescent="0.55000000000000004">
      <c r="B133" s="66"/>
      <c r="C133" s="95" t="s">
        <v>373</v>
      </c>
      <c r="D133" s="87"/>
      <c r="T133" s="85"/>
      <c r="U133" s="59"/>
      <c r="V133" s="59"/>
      <c r="W133" s="59"/>
      <c r="X133" s="59"/>
      <c r="Y133" s="59"/>
      <c r="Z133" s="59"/>
      <c r="AA133" s="59"/>
      <c r="AB133" s="59"/>
      <c r="AC133" s="59"/>
      <c r="AD133" s="59"/>
      <c r="AE133" s="59"/>
      <c r="AF133" s="59"/>
      <c r="AG133" s="59"/>
      <c r="AH133" s="59"/>
      <c r="AI133" s="59"/>
      <c r="AJ133" s="59"/>
      <c r="AK133" s="59"/>
      <c r="AL133" s="59"/>
      <c r="AM133" s="59"/>
      <c r="AN133" s="59"/>
      <c r="AO133" s="59"/>
      <c r="AP133" s="59"/>
      <c r="AQ133" s="59">
        <v>383</v>
      </c>
      <c r="AR133" s="59">
        <v>372</v>
      </c>
      <c r="AS133" s="59">
        <v>310</v>
      </c>
      <c r="AT133" s="59">
        <v>448</v>
      </c>
      <c r="AU133" s="59"/>
      <c r="AV133" s="59"/>
      <c r="AW133" s="59"/>
      <c r="AX133" s="59"/>
      <c r="AY133" s="59"/>
      <c r="AZ133" s="59"/>
      <c r="BA133" s="59"/>
      <c r="BB133" s="59"/>
      <c r="BC133" s="59"/>
      <c r="BD133" s="59"/>
      <c r="BE133" s="59"/>
      <c r="BF133" s="59"/>
      <c r="BG133" s="59"/>
      <c r="BH133" s="59"/>
      <c r="BI133" s="59"/>
      <c r="BJ133" s="59"/>
      <c r="BK133" s="59"/>
      <c r="BL133" s="59"/>
      <c r="BM133" s="59"/>
      <c r="BN133" s="59">
        <v>3</v>
      </c>
      <c r="BO133" s="59">
        <v>2</v>
      </c>
      <c r="BP133" s="59">
        <f>392000</f>
        <v>392000</v>
      </c>
      <c r="BQ133" s="59"/>
      <c r="BR133" s="59"/>
      <c r="BS133" s="59"/>
      <c r="BT133" s="59"/>
      <c r="BU133" s="59"/>
      <c r="BV133" s="59"/>
      <c r="BW133" s="59"/>
      <c r="BX133" s="59"/>
      <c r="BY133" s="59"/>
      <c r="BZ133" s="59"/>
      <c r="CA133" s="59"/>
      <c r="CB133" s="59"/>
      <c r="CC133" s="59"/>
      <c r="CD133" s="59"/>
      <c r="CE133" s="59"/>
    </row>
    <row r="134" spans="1:88" x14ac:dyDescent="0.5">
      <c r="Q134" s="27"/>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row>
    <row r="135" spans="1:88" s="66" customFormat="1" ht="12.75" customHeight="1" x14ac:dyDescent="0.5">
      <c r="C135" s="99" t="s">
        <v>137</v>
      </c>
      <c r="D135" s="134"/>
      <c r="Q135" s="27"/>
      <c r="U135" s="68"/>
      <c r="V135" s="68"/>
      <c r="W135" s="68">
        <f>W136+W137</f>
        <v>11.34</v>
      </c>
      <c r="X135" s="68">
        <f t="shared" ref="X135:AD135" si="20">X136+X137</f>
        <v>14.459999999999999</v>
      </c>
      <c r="Y135" s="68">
        <f t="shared" si="20"/>
        <v>15.5</v>
      </c>
      <c r="Z135" s="68">
        <f t="shared" si="20"/>
        <v>16.18</v>
      </c>
      <c r="AA135" s="68">
        <f t="shared" si="20"/>
        <v>13.639999999999999</v>
      </c>
      <c r="AB135" s="68">
        <f t="shared" si="20"/>
        <v>1.5</v>
      </c>
      <c r="AC135" s="68">
        <f t="shared" si="20"/>
        <v>0.43999999999999995</v>
      </c>
      <c r="AD135" s="68">
        <f t="shared" si="20"/>
        <v>0</v>
      </c>
      <c r="AE135" s="133">
        <v>9.8999999999999986</v>
      </c>
      <c r="AF135" s="68">
        <f t="shared" ref="AF135:AK135" si="21">AF136+AF137</f>
        <v>29.1</v>
      </c>
      <c r="AG135" s="68">
        <f t="shared" si="21"/>
        <v>49.3</v>
      </c>
      <c r="AH135" s="68">
        <f t="shared" si="21"/>
        <v>121.5</v>
      </c>
      <c r="AI135" s="68">
        <f t="shared" si="21"/>
        <v>101</v>
      </c>
      <c r="AJ135" s="174">
        <f t="shared" si="21"/>
        <v>118.70806433517451</v>
      </c>
      <c r="AK135" s="174">
        <f t="shared" si="21"/>
        <v>141.52534799645215</v>
      </c>
      <c r="AL135" s="68">
        <v>171</v>
      </c>
      <c r="AM135" s="68">
        <v>165</v>
      </c>
      <c r="AN135" s="68">
        <v>566</v>
      </c>
      <c r="AO135" s="68">
        <v>373</v>
      </c>
      <c r="AP135" s="68">
        <v>464</v>
      </c>
      <c r="AQ135" s="68">
        <v>632</v>
      </c>
      <c r="AR135" s="68">
        <v>774</v>
      </c>
      <c r="AS135" s="68">
        <v>992</v>
      </c>
      <c r="AT135" s="68">
        <v>1187</v>
      </c>
      <c r="AU135" s="68">
        <v>1160</v>
      </c>
      <c r="AV135" s="68">
        <v>932</v>
      </c>
      <c r="AW135" s="68">
        <v>2876</v>
      </c>
      <c r="AX135" s="68">
        <v>8045</v>
      </c>
      <c r="AY135" s="68">
        <v>9120</v>
      </c>
      <c r="AZ135" s="68">
        <v>19230</v>
      </c>
      <c r="BA135" s="68">
        <v>38480</v>
      </c>
      <c r="BB135" s="68">
        <v>106010.00000000001</v>
      </c>
      <c r="BC135" s="68">
        <v>261250</v>
      </c>
      <c r="BD135" s="68">
        <v>8612</v>
      </c>
      <c r="BE135" s="68">
        <v>20581.400000000001</v>
      </c>
      <c r="BF135" s="174">
        <v>38261.549999999996</v>
      </c>
      <c r="BG135" s="174">
        <v>55767.799999999996</v>
      </c>
      <c r="BH135" s="174">
        <v>40119.75</v>
      </c>
      <c r="BI135" s="174">
        <v>66367</v>
      </c>
      <c r="BJ135" s="174">
        <v>63999.05</v>
      </c>
      <c r="BK135" s="68">
        <v>100940</v>
      </c>
      <c r="BL135" s="68">
        <v>104133</v>
      </c>
      <c r="BM135" s="68">
        <v>126793</v>
      </c>
      <c r="BN135" s="68">
        <v>149613</v>
      </c>
      <c r="BO135" s="68">
        <v>234170</v>
      </c>
      <c r="BP135" s="68">
        <v>230516</v>
      </c>
      <c r="BQ135" s="68">
        <v>234224</v>
      </c>
      <c r="BR135" s="68">
        <v>236504</v>
      </c>
      <c r="BS135" s="174">
        <v>283334</v>
      </c>
      <c r="BT135" s="68">
        <v>330164</v>
      </c>
      <c r="BU135" s="133">
        <v>378557</v>
      </c>
      <c r="BV135" s="133">
        <v>388676</v>
      </c>
      <c r="BW135" s="133">
        <v>407934</v>
      </c>
      <c r="BX135" s="133">
        <v>461650</v>
      </c>
      <c r="BY135" s="133">
        <v>611409</v>
      </c>
      <c r="BZ135" s="133">
        <v>580549</v>
      </c>
      <c r="CA135" s="133">
        <v>2070315</v>
      </c>
      <c r="CB135" s="68"/>
      <c r="CC135" s="68"/>
      <c r="CD135" s="68"/>
      <c r="CE135" s="68"/>
    </row>
    <row r="136" spans="1:88" s="66" customFormat="1" ht="12.75" customHeight="1" x14ac:dyDescent="0.55000000000000004">
      <c r="C136" s="94" t="s">
        <v>368</v>
      </c>
      <c r="D136" s="134"/>
      <c r="Q136" s="90"/>
      <c r="U136" s="68"/>
      <c r="V136" s="68"/>
      <c r="W136" s="68">
        <v>9.74</v>
      </c>
      <c r="X136" s="68">
        <v>12.2</v>
      </c>
      <c r="Y136" s="68">
        <v>13.14</v>
      </c>
      <c r="Z136" s="68">
        <v>12.64</v>
      </c>
      <c r="AA136" s="68">
        <v>11.54</v>
      </c>
      <c r="AB136" s="68">
        <v>0.64</v>
      </c>
      <c r="AC136" s="68">
        <v>0.43999999999999995</v>
      </c>
      <c r="AD136" s="68">
        <v>0</v>
      </c>
      <c r="AE136" s="133">
        <v>7</v>
      </c>
      <c r="AF136" s="68">
        <v>18.2</v>
      </c>
      <c r="AG136" s="68">
        <v>32.799999999999997</v>
      </c>
      <c r="AH136" s="68">
        <v>57</v>
      </c>
      <c r="AI136" s="68">
        <v>55</v>
      </c>
      <c r="AJ136" s="174">
        <f>AI136*($AL136/$AI136)^(1/3)</f>
        <v>71.729048502676434</v>
      </c>
      <c r="AK136" s="174">
        <f>AJ136*($AL136/$AI136)^(1/3)</f>
        <v>93.546479983623783</v>
      </c>
      <c r="AL136" s="68">
        <v>122</v>
      </c>
      <c r="AM136" s="68">
        <v>97</v>
      </c>
      <c r="AN136" s="68">
        <v>300</v>
      </c>
      <c r="AO136" s="68">
        <v>224</v>
      </c>
      <c r="AP136" s="68">
        <v>306</v>
      </c>
      <c r="AQ136" s="68">
        <v>386</v>
      </c>
      <c r="AR136" s="68">
        <v>493</v>
      </c>
      <c r="AS136" s="68">
        <v>750</v>
      </c>
      <c r="AT136" s="68">
        <v>833</v>
      </c>
      <c r="AU136" s="68">
        <v>872</v>
      </c>
      <c r="AV136" s="68">
        <v>639</v>
      </c>
      <c r="AW136" s="68">
        <v>1932</v>
      </c>
      <c r="AX136" s="68">
        <v>4774</v>
      </c>
      <c r="AY136" s="68">
        <v>6790.0000000000009</v>
      </c>
      <c r="AZ136" s="68">
        <v>16650</v>
      </c>
      <c r="BA136" s="68">
        <v>35630</v>
      </c>
      <c r="BB136" s="68">
        <v>102690.00000000001</v>
      </c>
      <c r="BC136" s="68">
        <v>221240</v>
      </c>
      <c r="BD136" s="68">
        <v>6383</v>
      </c>
      <c r="BE136" s="68">
        <v>16781.400000000001</v>
      </c>
      <c r="BF136" s="174">
        <v>34019.549999999996</v>
      </c>
      <c r="BG136" s="174">
        <v>39174.799999999996</v>
      </c>
      <c r="BH136" s="174">
        <v>36443.75</v>
      </c>
      <c r="BI136" s="174">
        <v>65331</v>
      </c>
      <c r="BJ136" s="174">
        <v>62135</v>
      </c>
      <c r="BK136" s="68">
        <v>98000</v>
      </c>
      <c r="BL136" s="68">
        <v>101100</v>
      </c>
      <c r="BM136" s="68">
        <v>123100</v>
      </c>
      <c r="BN136" s="68">
        <v>138214</v>
      </c>
      <c r="BO136" s="68">
        <v>226542</v>
      </c>
      <c r="BP136" s="68">
        <v>223029</v>
      </c>
      <c r="BQ136" s="68">
        <v>224421</v>
      </c>
      <c r="BR136" s="68">
        <v>224912</v>
      </c>
      <c r="BS136" s="174">
        <v>268939.5</v>
      </c>
      <c r="BT136" s="68">
        <v>312967</v>
      </c>
      <c r="BU136" s="133">
        <v>361150</v>
      </c>
      <c r="BV136" s="133">
        <v>376354</v>
      </c>
      <c r="BW136" s="133">
        <v>392882</v>
      </c>
      <c r="BX136" s="68">
        <v>430100</v>
      </c>
      <c r="BY136" s="68">
        <v>572044</v>
      </c>
      <c r="BZ136" s="68">
        <v>550157</v>
      </c>
      <c r="CA136" s="68">
        <v>649371</v>
      </c>
      <c r="CB136" s="68"/>
      <c r="CC136" s="68"/>
      <c r="CD136" s="68"/>
      <c r="CE136" s="68"/>
    </row>
    <row r="137" spans="1:88" s="66" customFormat="1" ht="12.75" customHeight="1" x14ac:dyDescent="0.55000000000000004">
      <c r="C137" s="94" t="s">
        <v>370</v>
      </c>
      <c r="D137" s="134"/>
      <c r="U137" s="68"/>
      <c r="V137" s="68"/>
      <c r="W137" s="68">
        <v>1.6</v>
      </c>
      <c r="X137" s="68">
        <v>2.2600000000000002</v>
      </c>
      <c r="Y137" s="68">
        <v>2.36</v>
      </c>
      <c r="Z137" s="68">
        <v>3.54</v>
      </c>
      <c r="AA137" s="68">
        <v>2.1</v>
      </c>
      <c r="AB137" s="68">
        <v>0.85999999999999988</v>
      </c>
      <c r="AC137" s="68">
        <v>0</v>
      </c>
      <c r="AD137" s="133">
        <v>0</v>
      </c>
      <c r="AE137" s="133">
        <v>2.9699999999999993</v>
      </c>
      <c r="AF137" s="133">
        <v>10.9</v>
      </c>
      <c r="AG137" s="133">
        <v>16.5</v>
      </c>
      <c r="AH137" s="133">
        <v>64.5</v>
      </c>
      <c r="AI137" s="133">
        <v>46</v>
      </c>
      <c r="AJ137" s="174">
        <f>AI137*($AL137/$AI137)^(1/3)</f>
        <v>46.979015832498078</v>
      </c>
      <c r="AK137" s="174">
        <f>AJ137*($AL137/$AI137)^(1/3)</f>
        <v>47.978868012828372</v>
      </c>
      <c r="AL137" s="68">
        <v>49</v>
      </c>
      <c r="AM137" s="68">
        <v>68</v>
      </c>
      <c r="AN137" s="68">
        <v>266</v>
      </c>
      <c r="AO137" s="68">
        <v>149</v>
      </c>
      <c r="AP137" s="68">
        <v>158</v>
      </c>
      <c r="AQ137" s="68">
        <v>246</v>
      </c>
      <c r="AR137" s="68">
        <v>281</v>
      </c>
      <c r="AS137" s="68">
        <v>242</v>
      </c>
      <c r="AT137" s="133">
        <v>354</v>
      </c>
      <c r="AU137" s="133">
        <v>288</v>
      </c>
      <c r="AV137" s="133">
        <v>293</v>
      </c>
      <c r="AW137" s="133">
        <v>944</v>
      </c>
      <c r="AX137" s="133">
        <v>3271</v>
      </c>
      <c r="AY137" s="68">
        <v>2330</v>
      </c>
      <c r="AZ137" s="68">
        <v>2580</v>
      </c>
      <c r="BA137" s="68">
        <v>2850</v>
      </c>
      <c r="BB137" s="68">
        <v>3320</v>
      </c>
      <c r="BC137" s="68">
        <v>40010</v>
      </c>
      <c r="BD137" s="68">
        <v>2229</v>
      </c>
      <c r="BE137" s="68">
        <v>3800</v>
      </c>
      <c r="BF137" s="133">
        <v>4242</v>
      </c>
      <c r="BG137" s="133">
        <v>16593</v>
      </c>
      <c r="BH137" s="133">
        <v>3676</v>
      </c>
      <c r="BI137" s="133">
        <v>1036</v>
      </c>
      <c r="BJ137" s="174">
        <v>1864.05</v>
      </c>
      <c r="BK137" s="174">
        <v>2940</v>
      </c>
      <c r="BL137" s="174">
        <v>3033</v>
      </c>
      <c r="BM137" s="174">
        <v>3693</v>
      </c>
      <c r="BN137" s="133">
        <v>11399</v>
      </c>
      <c r="BO137" s="133">
        <v>7628</v>
      </c>
      <c r="BP137" s="133">
        <v>7487</v>
      </c>
      <c r="BQ137" s="133">
        <v>9803</v>
      </c>
      <c r="BR137" s="133">
        <v>11592</v>
      </c>
      <c r="BS137" s="174">
        <v>14394.5</v>
      </c>
      <c r="BT137" s="133">
        <v>17197</v>
      </c>
      <c r="BU137" s="133">
        <v>17407</v>
      </c>
      <c r="BV137" s="133">
        <v>12322</v>
      </c>
      <c r="BW137" s="133">
        <v>15052</v>
      </c>
      <c r="BX137" s="68">
        <v>31550</v>
      </c>
      <c r="BY137" s="68">
        <v>39365</v>
      </c>
      <c r="BZ137" s="68">
        <v>30392</v>
      </c>
      <c r="CA137" s="68">
        <v>1420944</v>
      </c>
      <c r="CB137" s="68"/>
      <c r="CC137" s="68"/>
      <c r="CD137" s="68"/>
      <c r="CE137" s="68"/>
    </row>
    <row r="138" spans="1:88" s="66" customFormat="1" ht="12.75" customHeight="1" x14ac:dyDescent="0.55000000000000004">
      <c r="C138" s="94"/>
      <c r="D138" s="134"/>
      <c r="U138" s="68"/>
      <c r="V138" s="68"/>
      <c r="W138" s="68"/>
      <c r="X138" s="68"/>
      <c r="Y138" s="68"/>
      <c r="Z138" s="174"/>
      <c r="AA138" s="174"/>
      <c r="AB138" s="174"/>
      <c r="AC138" s="174"/>
      <c r="AD138" s="174"/>
      <c r="AE138" s="174"/>
      <c r="AF138" s="174"/>
      <c r="AG138" s="174"/>
      <c r="AH138" s="174"/>
      <c r="AI138" s="174"/>
      <c r="AJ138" s="174"/>
      <c r="AK138" s="174"/>
      <c r="AL138" s="68"/>
      <c r="AM138" s="68"/>
      <c r="AN138" s="68"/>
      <c r="AO138" s="68"/>
      <c r="AP138" s="68"/>
      <c r="AQ138" s="68"/>
      <c r="AR138" s="68"/>
      <c r="AS138" s="68"/>
      <c r="AT138" s="133"/>
      <c r="AU138" s="133"/>
      <c r="AV138" s="133"/>
      <c r="AW138" s="133"/>
      <c r="AX138" s="133"/>
      <c r="AY138" s="68"/>
      <c r="AZ138" s="68"/>
      <c r="BA138" s="68"/>
      <c r="BB138" s="68"/>
      <c r="BC138" s="68"/>
      <c r="BD138" s="68"/>
      <c r="BE138" s="68"/>
      <c r="BF138" s="133"/>
      <c r="BG138" s="133"/>
      <c r="BH138" s="133"/>
      <c r="BI138" s="133"/>
      <c r="BJ138" s="174"/>
      <c r="BK138" s="174"/>
      <c r="BL138" s="174"/>
      <c r="BM138" s="174"/>
      <c r="BN138" s="133"/>
      <c r="BO138" s="133"/>
      <c r="BP138" s="133"/>
      <c r="BQ138" s="133"/>
      <c r="BR138" s="133"/>
      <c r="BS138" s="174"/>
      <c r="BT138" s="133"/>
      <c r="BU138" s="133"/>
      <c r="BV138" s="133"/>
      <c r="BW138" s="133"/>
      <c r="BX138" s="68"/>
      <c r="BY138" s="68"/>
      <c r="BZ138" s="68"/>
      <c r="CA138" s="68"/>
      <c r="CB138" s="68"/>
      <c r="CC138" s="68"/>
      <c r="CD138" s="68"/>
      <c r="CE138" s="68"/>
    </row>
    <row r="139" spans="1:88" s="30" customFormat="1" ht="12.75" customHeight="1" x14ac:dyDescent="0.55000000000000004">
      <c r="C139" s="87" t="s">
        <v>374</v>
      </c>
      <c r="D139" s="87"/>
      <c r="T139" s="85"/>
      <c r="U139" s="59"/>
      <c r="V139" s="59"/>
      <c r="W139" s="59"/>
      <c r="X139" s="59"/>
      <c r="Y139" s="59"/>
      <c r="Z139" s="59"/>
      <c r="AA139" s="59"/>
      <c r="AB139" s="59"/>
      <c r="AC139" s="59"/>
      <c r="AD139" s="59">
        <v>616</v>
      </c>
      <c r="AE139" s="59"/>
      <c r="AF139" s="59"/>
      <c r="AG139" s="59"/>
      <c r="AH139" s="59"/>
      <c r="AI139" s="59"/>
      <c r="AJ139" s="59"/>
      <c r="AK139" s="59"/>
      <c r="AL139" s="59">
        <v>1699.3999999999999</v>
      </c>
      <c r="AM139" s="59"/>
      <c r="AN139" s="59"/>
      <c r="AO139" s="59"/>
      <c r="AP139" s="59"/>
      <c r="AQ139" s="59"/>
      <c r="AR139" s="59"/>
      <c r="AS139" s="59"/>
      <c r="AT139" s="59"/>
      <c r="AU139" s="59"/>
      <c r="AV139" s="59">
        <v>7689</v>
      </c>
      <c r="AW139" s="59"/>
      <c r="AX139" s="59"/>
      <c r="AY139" s="59"/>
      <c r="AZ139" s="59"/>
      <c r="BA139" s="59"/>
      <c r="BB139" s="59"/>
      <c r="BC139" s="59"/>
      <c r="BD139" s="59"/>
      <c r="BE139" s="59"/>
      <c r="BF139" s="59">
        <v>121110</v>
      </c>
      <c r="BG139" s="59"/>
      <c r="BH139" s="59"/>
      <c r="BI139" s="59"/>
      <c r="BJ139" s="59"/>
      <c r="BK139" s="59"/>
      <c r="BL139" s="59"/>
      <c r="BM139" s="59"/>
      <c r="BN139" s="59"/>
      <c r="BO139" s="59"/>
      <c r="BP139" s="59">
        <v>1454752</v>
      </c>
      <c r="BQ139" s="59">
        <v>1894000</v>
      </c>
      <c r="BR139" s="59"/>
      <c r="BS139" s="59"/>
      <c r="BT139" s="59"/>
      <c r="BU139" s="59"/>
      <c r="BV139" s="59"/>
      <c r="BW139" s="59"/>
      <c r="BX139" s="59"/>
      <c r="BY139" s="59"/>
      <c r="BZ139" s="59"/>
      <c r="CA139" s="59"/>
      <c r="CB139" s="59"/>
      <c r="CC139" s="59"/>
      <c r="CD139" s="59"/>
      <c r="CE139" s="59"/>
    </row>
    <row r="140" spans="1:88" s="30" customFormat="1" ht="12.75" customHeight="1" x14ac:dyDescent="0.55000000000000004">
      <c r="C140" s="99" t="s">
        <v>375</v>
      </c>
      <c r="D140" s="87"/>
      <c r="T140" s="85"/>
      <c r="U140" s="59"/>
      <c r="V140" s="59"/>
      <c r="W140" s="59"/>
      <c r="X140" s="59"/>
      <c r="Y140" s="59"/>
      <c r="Z140" s="59"/>
      <c r="AA140" s="59"/>
      <c r="AB140" s="59"/>
      <c r="AC140" s="59"/>
      <c r="AD140" s="59">
        <v>126</v>
      </c>
      <c r="AE140" s="59"/>
      <c r="AF140" s="59"/>
      <c r="AG140" s="59"/>
      <c r="AH140" s="59"/>
      <c r="AI140" s="59"/>
      <c r="AJ140" s="59"/>
      <c r="AK140" s="59"/>
      <c r="AL140" s="59">
        <v>322.5</v>
      </c>
      <c r="AM140" s="59"/>
      <c r="AN140" s="59"/>
      <c r="AO140" s="59"/>
      <c r="AP140" s="59"/>
      <c r="AQ140" s="59"/>
      <c r="AR140" s="59"/>
      <c r="AS140" s="59"/>
      <c r="AT140" s="59"/>
      <c r="AU140" s="59"/>
      <c r="AV140" s="59">
        <v>2096</v>
      </c>
      <c r="AW140" s="59"/>
      <c r="AX140" s="59"/>
      <c r="AY140" s="59"/>
      <c r="AZ140" s="59"/>
      <c r="BA140" s="59"/>
      <c r="BB140" s="59"/>
      <c r="BC140" s="59"/>
      <c r="BD140" s="59"/>
      <c r="BE140" s="59"/>
      <c r="BF140" s="59">
        <v>15172</v>
      </c>
      <c r="BG140" s="59"/>
      <c r="BH140" s="59"/>
      <c r="BI140" s="59"/>
      <c r="BJ140" s="59"/>
      <c r="BK140" s="59"/>
      <c r="BL140" s="59"/>
      <c r="BM140" s="59"/>
      <c r="BN140" s="59"/>
      <c r="BO140" s="59"/>
      <c r="BP140" s="59">
        <v>399423</v>
      </c>
      <c r="BQ140" s="59">
        <v>456000</v>
      </c>
      <c r="BR140" s="59"/>
      <c r="BS140" s="59"/>
      <c r="BT140" s="59"/>
      <c r="BU140" s="59"/>
      <c r="BV140" s="59"/>
      <c r="BW140" s="59"/>
      <c r="BX140" s="59"/>
      <c r="BY140" s="59"/>
      <c r="BZ140" s="59"/>
      <c r="CA140" s="59"/>
      <c r="CB140" s="59"/>
      <c r="CC140" s="59"/>
      <c r="CD140" s="59"/>
      <c r="CE140" s="59"/>
    </row>
    <row r="141" spans="1:88" s="30" customFormat="1" ht="12.75" customHeight="1" x14ac:dyDescent="0.55000000000000004">
      <c r="C141" s="99"/>
      <c r="D141" s="87"/>
      <c r="T141" s="85"/>
      <c r="U141" s="59"/>
      <c r="V141" s="59"/>
      <c r="W141" s="59"/>
      <c r="X141" s="59"/>
      <c r="Y141" s="59"/>
      <c r="Z141" s="59"/>
      <c r="AA141" s="59"/>
      <c r="AB141" s="59"/>
      <c r="AC141" s="59"/>
      <c r="AD141" s="59"/>
      <c r="AE141" s="59"/>
      <c r="AF141" s="59"/>
      <c r="AG141" s="59"/>
      <c r="AH141" s="59"/>
      <c r="AI141" s="59"/>
      <c r="AJ141" s="59"/>
      <c r="AK141" s="59"/>
      <c r="AL141" s="59"/>
      <c r="AM141" s="59"/>
      <c r="AN141" s="59"/>
      <c r="AO141" s="59"/>
      <c r="AP141" s="59"/>
      <c r="AQ141" s="59"/>
      <c r="AR141" s="59"/>
      <c r="AS141" s="59"/>
      <c r="AT141" s="59"/>
      <c r="AU141" s="59"/>
      <c r="AV141" s="59"/>
      <c r="AW141" s="59"/>
      <c r="AX141" s="59"/>
      <c r="AY141" s="59"/>
      <c r="AZ141" s="59"/>
      <c r="BA141" s="59"/>
      <c r="BB141" s="59"/>
      <c r="BC141" s="59"/>
      <c r="BD141" s="59"/>
      <c r="BE141" s="59"/>
      <c r="BF141" s="59"/>
      <c r="BG141" s="59"/>
      <c r="BH141" s="59"/>
      <c r="BI141" s="59"/>
      <c r="BJ141" s="59"/>
      <c r="BK141" s="59"/>
      <c r="BL141" s="59"/>
      <c r="BM141" s="59"/>
      <c r="BN141" s="59"/>
      <c r="BO141" s="59"/>
      <c r="BP141" s="59"/>
      <c r="BQ141" s="59"/>
      <c r="BR141" s="59"/>
      <c r="BS141" s="59"/>
      <c r="BT141" s="59"/>
      <c r="BU141" s="59"/>
      <c r="BV141" s="59"/>
      <c r="BW141" s="59"/>
      <c r="BX141" s="59"/>
      <c r="BY141" s="59"/>
      <c r="BZ141" s="59"/>
      <c r="CA141" s="59"/>
      <c r="CB141" s="59"/>
      <c r="CC141" s="59"/>
      <c r="CD141" s="59"/>
      <c r="CE141" s="59"/>
    </row>
    <row r="142" spans="1:88" s="202" customFormat="1" x14ac:dyDescent="0.5">
      <c r="C142" s="203" t="s">
        <v>130</v>
      </c>
    </row>
    <row r="143" spans="1:88" s="210" customFormat="1" x14ac:dyDescent="0.5">
      <c r="A143" s="210" t="s">
        <v>360</v>
      </c>
      <c r="C143" s="204" t="s">
        <v>131</v>
      </c>
      <c r="D143" s="204"/>
      <c r="M143" s="222"/>
      <c r="N143" s="223"/>
      <c r="O143" s="223"/>
      <c r="P143" s="223"/>
      <c r="Q143" s="223"/>
      <c r="R143" s="223"/>
      <c r="S143" s="223"/>
      <c r="T143" s="223"/>
      <c r="U143" s="223"/>
      <c r="V143" s="223"/>
      <c r="W143" s="213">
        <f t="shared" ref="W143:AT143" si="22">W125+W122</f>
        <v>451.31200000000001</v>
      </c>
      <c r="X143" s="213">
        <f t="shared" si="22"/>
        <v>536.70000000000005</v>
      </c>
      <c r="Y143" s="213">
        <f t="shared" si="22"/>
        <v>563.38</v>
      </c>
      <c r="Z143" s="213">
        <f t="shared" si="22"/>
        <v>594.29999999999995</v>
      </c>
      <c r="AA143" s="213">
        <f t="shared" si="22"/>
        <v>603.67999999999995</v>
      </c>
      <c r="AB143" s="213">
        <f t="shared" si="22"/>
        <v>571.96</v>
      </c>
      <c r="AC143" s="213">
        <f t="shared" si="22"/>
        <v>614.41999999999996</v>
      </c>
      <c r="AD143" s="213">
        <f t="shared" si="22"/>
        <v>679.31</v>
      </c>
      <c r="AE143" s="213">
        <f t="shared" si="22"/>
        <v>723.5</v>
      </c>
      <c r="AF143" s="213">
        <f t="shared" si="22"/>
        <v>872.3</v>
      </c>
      <c r="AG143" s="213">
        <f t="shared" si="22"/>
        <v>1099.56</v>
      </c>
      <c r="AH143" s="213">
        <f t="shared" si="22"/>
        <v>1301.8999999999999</v>
      </c>
      <c r="AI143" s="213">
        <f t="shared" si="22"/>
        <v>1325.85963817878</v>
      </c>
      <c r="AJ143" s="213">
        <f t="shared" si="22"/>
        <v>1354.4812111042643</v>
      </c>
      <c r="AK143" s="213">
        <f t="shared" si="22"/>
        <v>1605.7311186651293</v>
      </c>
      <c r="AL143" s="213">
        <f t="shared" si="22"/>
        <v>1784.5774663071118</v>
      </c>
      <c r="AM143" s="213">
        <f t="shared" si="22"/>
        <v>2188.9899784581507</v>
      </c>
      <c r="AN143" s="213">
        <f t="shared" si="22"/>
        <v>2624.9399163481089</v>
      </c>
      <c r="AO143" s="213">
        <f t="shared" si="22"/>
        <v>2282.4</v>
      </c>
      <c r="AP143" s="213">
        <f t="shared" si="22"/>
        <v>2858</v>
      </c>
      <c r="AQ143" s="213">
        <f t="shared" si="22"/>
        <v>3465.1</v>
      </c>
      <c r="AR143" s="213">
        <f t="shared" si="22"/>
        <v>3989.6319582100459</v>
      </c>
      <c r="AS143" s="213">
        <f t="shared" si="22"/>
        <v>4882.2645467249304</v>
      </c>
      <c r="AT143" s="213">
        <f t="shared" si="22"/>
        <v>6086</v>
      </c>
      <c r="AU143" s="213">
        <f>AU125+AU122-AU131</f>
        <v>6176</v>
      </c>
      <c r="AV143" s="213">
        <f t="shared" ref="AV143:BB143" si="23">AV125+AV122</f>
        <v>8381</v>
      </c>
      <c r="AW143" s="213">
        <f t="shared" si="23"/>
        <v>13954</v>
      </c>
      <c r="AX143" s="213">
        <f t="shared" si="23"/>
        <v>54490</v>
      </c>
      <c r="AY143" s="213">
        <f t="shared" si="23"/>
        <v>72110</v>
      </c>
      <c r="AZ143" s="213">
        <f t="shared" si="23"/>
        <v>115400</v>
      </c>
      <c r="BA143" s="213">
        <f t="shared" si="23"/>
        <v>239800</v>
      </c>
      <c r="BB143" s="213">
        <f t="shared" si="23"/>
        <v>472300</v>
      </c>
      <c r="BC143" s="213">
        <f t="shared" ref="BC143:BZ143" si="24">BC125+BC118*BC123</f>
        <v>1166784</v>
      </c>
      <c r="BD143" s="213">
        <f t="shared" si="24"/>
        <v>43044.800000000003</v>
      </c>
      <c r="BE143" s="213">
        <f t="shared" si="24"/>
        <v>93510.16</v>
      </c>
      <c r="BF143" s="213">
        <f t="shared" si="24"/>
        <v>178709.04</v>
      </c>
      <c r="BG143" s="213">
        <f t="shared" si="24"/>
        <v>272780.32</v>
      </c>
      <c r="BH143" s="213">
        <f t="shared" si="24"/>
        <v>588934.80000000005</v>
      </c>
      <c r="BI143" s="213">
        <f t="shared" si="24"/>
        <v>729598</v>
      </c>
      <c r="BJ143" s="213">
        <f t="shared" si="24"/>
        <v>831327</v>
      </c>
      <c r="BK143" s="213">
        <f t="shared" si="24"/>
        <v>919280</v>
      </c>
      <c r="BL143" s="213">
        <f t="shared" si="24"/>
        <v>1015888</v>
      </c>
      <c r="BM143" s="213">
        <f t="shared" si="24"/>
        <v>1146156</v>
      </c>
      <c r="BN143" s="213">
        <f t="shared" si="24"/>
        <v>1265560</v>
      </c>
      <c r="BO143" s="213">
        <f t="shared" si="24"/>
        <v>1616728</v>
      </c>
      <c r="BP143" s="213">
        <f t="shared" si="24"/>
        <v>2428160</v>
      </c>
      <c r="BQ143" s="213">
        <f t="shared" si="24"/>
        <v>2252120</v>
      </c>
      <c r="BR143" s="213">
        <f t="shared" si="24"/>
        <v>2564160</v>
      </c>
      <c r="BS143" s="213">
        <f t="shared" si="24"/>
        <v>2844360</v>
      </c>
      <c r="BT143" s="213">
        <f t="shared" si="24"/>
        <v>3201760</v>
      </c>
      <c r="BU143" s="213">
        <f t="shared" si="24"/>
        <v>3349520</v>
      </c>
      <c r="BV143" s="213">
        <f t="shared" si="24"/>
        <v>3622680</v>
      </c>
      <c r="BW143" s="213">
        <f t="shared" si="24"/>
        <v>4482680</v>
      </c>
      <c r="BX143" s="213">
        <f t="shared" si="24"/>
        <v>4512000</v>
      </c>
      <c r="BY143" s="213">
        <f t="shared" si="24"/>
        <v>5352082</v>
      </c>
      <c r="BZ143" s="213">
        <f t="shared" si="24"/>
        <v>7005568</v>
      </c>
      <c r="CA143" s="223"/>
      <c r="CB143" s="213"/>
      <c r="CC143" s="223"/>
    </row>
    <row r="144" spans="1:88" s="202" customFormat="1" x14ac:dyDescent="0.5">
      <c r="C144" s="206" t="s">
        <v>133</v>
      </c>
      <c r="N144" s="208"/>
      <c r="O144" s="208"/>
      <c r="P144" s="208"/>
      <c r="Q144" s="208"/>
      <c r="R144" s="208"/>
      <c r="S144" s="208"/>
      <c r="T144" s="208"/>
      <c r="U144" s="208"/>
      <c r="V144" s="208"/>
      <c r="W144" s="205">
        <f t="shared" ref="W144:AR144" si="25">(W78-W88-W100)*20/1000</f>
        <v>2.5639919999999994</v>
      </c>
      <c r="X144" s="205">
        <f t="shared" si="25"/>
        <v>3.0640000000000001</v>
      </c>
      <c r="Y144" s="205">
        <f t="shared" si="25"/>
        <v>3.2724000000000002</v>
      </c>
      <c r="Z144" s="205">
        <f t="shared" si="25"/>
        <v>3.7151999999999998</v>
      </c>
      <c r="AA144" s="205">
        <f t="shared" si="25"/>
        <v>3.9119999999999999</v>
      </c>
      <c r="AB144" s="205">
        <f t="shared" si="25"/>
        <v>4.1503999999999994</v>
      </c>
      <c r="AC144" s="205">
        <f t="shared" si="25"/>
        <v>4.7160000000000002</v>
      </c>
      <c r="AD144" s="205">
        <f t="shared" si="25"/>
        <v>4.9196</v>
      </c>
      <c r="AE144" s="205">
        <f t="shared" si="25"/>
        <v>4.7320000000000002</v>
      </c>
      <c r="AF144" s="205">
        <f t="shared" si="25"/>
        <v>5.6084000000000005</v>
      </c>
      <c r="AG144" s="205">
        <f t="shared" si="25"/>
        <v>6.2303999999999995</v>
      </c>
      <c r="AH144" s="205">
        <f t="shared" si="25"/>
        <v>6.6012000000000004</v>
      </c>
      <c r="AI144" s="205">
        <f t="shared" si="25"/>
        <v>7.0699999999999994</v>
      </c>
      <c r="AJ144" s="205">
        <f t="shared" si="25"/>
        <v>7.8392400000000002</v>
      </c>
      <c r="AK144" s="205">
        <f t="shared" si="25"/>
        <v>8.4546799999999998</v>
      </c>
      <c r="AL144" s="205">
        <f t="shared" si="25"/>
        <v>10.213460000000001</v>
      </c>
      <c r="AM144" s="205">
        <f t="shared" si="25"/>
        <v>10.05992</v>
      </c>
      <c r="AN144" s="205">
        <f t="shared" si="25"/>
        <v>11.12</v>
      </c>
      <c r="AO144" s="205">
        <f t="shared" si="25"/>
        <v>15.2</v>
      </c>
      <c r="AP144" s="205">
        <f t="shared" si="25"/>
        <v>15.48</v>
      </c>
      <c r="AQ144" s="205">
        <f t="shared" si="25"/>
        <v>17.88</v>
      </c>
      <c r="AR144" s="205">
        <f t="shared" si="25"/>
        <v>23.36</v>
      </c>
      <c r="AS144" s="205">
        <f t="shared" ref="AS144:BZ144" si="26">AS127</f>
        <v>1452.8000000000002</v>
      </c>
      <c r="AT144" s="205">
        <f t="shared" si="26"/>
        <v>1645.2</v>
      </c>
      <c r="AU144" s="205">
        <f t="shared" si="26"/>
        <v>1761</v>
      </c>
      <c r="AV144" s="205">
        <f t="shared" si="26"/>
        <v>2456</v>
      </c>
      <c r="AW144" s="205">
        <f t="shared" si="26"/>
        <v>5109</v>
      </c>
      <c r="AX144" s="205">
        <f t="shared" si="26"/>
        <v>6410</v>
      </c>
      <c r="AY144" s="205">
        <f t="shared" si="26"/>
        <v>7010</v>
      </c>
      <c r="AZ144" s="205">
        <f t="shared" si="26"/>
        <v>12600</v>
      </c>
      <c r="BA144" s="205">
        <f t="shared" si="26"/>
        <v>44100</v>
      </c>
      <c r="BB144" s="205">
        <f t="shared" si="26"/>
        <v>53500</v>
      </c>
      <c r="BC144" s="205">
        <f t="shared" si="26"/>
        <v>115900</v>
      </c>
      <c r="BD144" s="205">
        <f t="shared" si="26"/>
        <v>3700</v>
      </c>
      <c r="BE144" s="205">
        <f t="shared" si="26"/>
        <v>9778</v>
      </c>
      <c r="BF144" s="205">
        <f t="shared" si="26"/>
        <v>12973</v>
      </c>
      <c r="BG144" s="205">
        <f t="shared" si="26"/>
        <v>24132</v>
      </c>
      <c r="BH144" s="205">
        <f t="shared" si="26"/>
        <v>47846</v>
      </c>
      <c r="BI144" s="205">
        <f t="shared" si="26"/>
        <v>62691</v>
      </c>
      <c r="BJ144" s="205">
        <f t="shared" si="26"/>
        <v>84427</v>
      </c>
      <c r="BK144" s="205">
        <f t="shared" si="26"/>
        <v>135500</v>
      </c>
      <c r="BL144" s="205">
        <f t="shared" si="26"/>
        <v>167400</v>
      </c>
      <c r="BM144" s="205">
        <f t="shared" si="26"/>
        <v>227000</v>
      </c>
      <c r="BN144" s="205">
        <f t="shared" si="26"/>
        <v>255800</v>
      </c>
      <c r="BO144" s="205">
        <f t="shared" si="26"/>
        <v>341200</v>
      </c>
      <c r="BP144" s="205">
        <f t="shared" si="26"/>
        <v>373900</v>
      </c>
      <c r="BQ144" s="205">
        <f t="shared" si="26"/>
        <v>434000</v>
      </c>
      <c r="BR144" s="205">
        <f t="shared" si="26"/>
        <v>549000</v>
      </c>
      <c r="BS144" s="205">
        <f t="shared" si="26"/>
        <v>611000</v>
      </c>
      <c r="BT144" s="205">
        <f t="shared" si="26"/>
        <v>683000</v>
      </c>
      <c r="BU144" s="205">
        <f t="shared" si="26"/>
        <v>774200</v>
      </c>
      <c r="BV144" s="205">
        <f t="shared" si="26"/>
        <v>867000</v>
      </c>
      <c r="BW144" s="205">
        <f t="shared" si="26"/>
        <v>987000</v>
      </c>
      <c r="BX144" s="205">
        <f t="shared" si="26"/>
        <v>1106000</v>
      </c>
      <c r="BY144" s="205">
        <f t="shared" si="26"/>
        <v>1184000</v>
      </c>
      <c r="BZ144" s="205">
        <f t="shared" si="26"/>
        <v>1308000</v>
      </c>
      <c r="CA144" s="208"/>
      <c r="CB144" s="205"/>
      <c r="CC144" s="208"/>
    </row>
    <row r="145" spans="1:83" s="210" customFormat="1" x14ac:dyDescent="0.5">
      <c r="C145" s="206" t="s">
        <v>135</v>
      </c>
      <c r="E145" s="211"/>
      <c r="F145" s="211"/>
      <c r="G145" s="211"/>
      <c r="H145" s="211"/>
      <c r="I145" s="211"/>
      <c r="J145" s="211"/>
      <c r="K145" s="211"/>
      <c r="L145" s="211"/>
      <c r="M145" s="211"/>
      <c r="N145" s="224"/>
      <c r="O145" s="224"/>
      <c r="P145" s="224"/>
      <c r="Q145" s="224"/>
      <c r="R145" s="224"/>
      <c r="S145" s="224"/>
      <c r="T145" s="224"/>
      <c r="U145" s="224"/>
      <c r="V145" s="224"/>
      <c r="W145" s="213">
        <f>W143-W144-W146-W147-W148</f>
        <v>310.3526280000001</v>
      </c>
      <c r="X145" s="213">
        <f t="shared" ref="X145:AW145" si="27">X143-X144-X146-X147-X148</f>
        <v>380.21642000000008</v>
      </c>
      <c r="Y145" s="213">
        <f t="shared" si="27"/>
        <v>401.60648000000003</v>
      </c>
      <c r="Z145" s="213">
        <f t="shared" si="27"/>
        <v>440.37227999999993</v>
      </c>
      <c r="AA145" s="213">
        <f t="shared" si="27"/>
        <v>474.63223999999991</v>
      </c>
      <c r="AB145" s="213">
        <f t="shared" si="27"/>
        <v>453.68416000000002</v>
      </c>
      <c r="AC145" s="213">
        <f t="shared" si="27"/>
        <v>499.49239999999986</v>
      </c>
      <c r="AD145" s="213">
        <f t="shared" si="27"/>
        <v>574.09040000000005</v>
      </c>
      <c r="AE145" s="213">
        <f t="shared" si="27"/>
        <v>620.83800000000008</v>
      </c>
      <c r="AF145" s="213">
        <f t="shared" si="27"/>
        <v>723.49159999999995</v>
      </c>
      <c r="AG145" s="213">
        <f t="shared" si="27"/>
        <v>835.52960000000007</v>
      </c>
      <c r="AH145" s="213">
        <f t="shared" si="27"/>
        <v>988.2987999999998</v>
      </c>
      <c r="AI145" s="213">
        <f t="shared" si="27"/>
        <v>1020.78963817878</v>
      </c>
      <c r="AJ145" s="213">
        <f t="shared" si="27"/>
        <v>1105.912922601588</v>
      </c>
      <c r="AK145" s="213">
        <f t="shared" si="27"/>
        <v>1177.7299586815054</v>
      </c>
      <c r="AL145" s="213">
        <f t="shared" si="27"/>
        <v>1235.3640063071118</v>
      </c>
      <c r="AM145" s="213">
        <f t="shared" si="27"/>
        <v>1556.9300584581506</v>
      </c>
      <c r="AN145" s="213">
        <f t="shared" si="27"/>
        <v>1263.2199163481091</v>
      </c>
      <c r="AO145" s="213">
        <f t="shared" si="27"/>
        <v>1344.0000000000005</v>
      </c>
      <c r="AP145" s="213">
        <f t="shared" si="27"/>
        <v>1508.52</v>
      </c>
      <c r="AQ145" s="213">
        <f t="shared" si="27"/>
        <v>1846.2199999999998</v>
      </c>
      <c r="AR145" s="213">
        <f t="shared" si="27"/>
        <v>2275.2719582100458</v>
      </c>
      <c r="AS145" s="213">
        <f t="shared" si="27"/>
        <v>1332.4645467249302</v>
      </c>
      <c r="AT145" s="213">
        <f t="shared" si="27"/>
        <v>1404.8000000000002</v>
      </c>
      <c r="AU145" s="213">
        <f t="shared" si="27"/>
        <v>1711</v>
      </c>
      <c r="AV145" s="213">
        <f t="shared" si="27"/>
        <v>3998</v>
      </c>
      <c r="AW145" s="213">
        <f t="shared" si="27"/>
        <v>4365</v>
      </c>
      <c r="AX145" s="213">
        <f>AX143-AX144-AX146-AX147-AX148-AX149</f>
        <v>31520</v>
      </c>
      <c r="AY145" s="213">
        <f>AY143-AY144-AY146-AY147-AY148-AY149</f>
        <v>42280</v>
      </c>
      <c r="AZ145" s="213">
        <f>AZ143-AZ144-AZ146-AZ147-AZ148-AZ149</f>
        <v>54170</v>
      </c>
      <c r="BA145" s="213">
        <f>BA143-BA144-BA146-BA147-BA148-BA149</f>
        <v>96520</v>
      </c>
      <c r="BB145" s="213">
        <f>BB143-BB144-BB146-BB147-BB148-BB149</f>
        <v>135790</v>
      </c>
      <c r="BC145" s="213">
        <f t="shared" ref="BC145:BY145" si="28">BC143-BC144-BC146-BC147-BC148-BC149</f>
        <v>358944</v>
      </c>
      <c r="BD145" s="213">
        <f t="shared" si="28"/>
        <v>13351.800000000003</v>
      </c>
      <c r="BE145" s="213">
        <f t="shared" si="28"/>
        <v>32350.760000000002</v>
      </c>
      <c r="BF145" s="213">
        <f t="shared" si="28"/>
        <v>46527.49000000002</v>
      </c>
      <c r="BG145" s="213">
        <f t="shared" si="28"/>
        <v>56732.520000000019</v>
      </c>
      <c r="BH145" s="213">
        <f t="shared" si="28"/>
        <v>164574.05000000005</v>
      </c>
      <c r="BI145" s="213">
        <f t="shared" si="28"/>
        <v>138600</v>
      </c>
      <c r="BJ145" s="213">
        <f t="shared" si="28"/>
        <v>197683</v>
      </c>
      <c r="BK145" s="213">
        <f t="shared" si="28"/>
        <v>238718</v>
      </c>
      <c r="BL145" s="213">
        <f t="shared" si="28"/>
        <v>258588</v>
      </c>
      <c r="BM145" s="213">
        <f t="shared" si="28"/>
        <v>285856</v>
      </c>
      <c r="BN145" s="213">
        <f t="shared" si="28"/>
        <v>294246</v>
      </c>
      <c r="BO145" s="213">
        <f t="shared" si="28"/>
        <v>383186</v>
      </c>
      <c r="BP145" s="213">
        <f t="shared" si="28"/>
        <v>560831</v>
      </c>
      <c r="BQ145" s="213">
        <f t="shared" si="28"/>
        <v>529699</v>
      </c>
      <c r="BR145" s="213">
        <f t="shared" si="28"/>
        <v>670248</v>
      </c>
      <c r="BS145" s="213">
        <f t="shared" si="28"/>
        <v>623420.5</v>
      </c>
      <c r="BT145" s="213">
        <f t="shared" si="28"/>
        <v>754793</v>
      </c>
      <c r="BU145" s="213">
        <f t="shared" si="28"/>
        <v>757370</v>
      </c>
      <c r="BV145" s="213">
        <f t="shared" si="28"/>
        <v>892326</v>
      </c>
      <c r="BW145" s="213">
        <f t="shared" si="28"/>
        <v>1184798</v>
      </c>
      <c r="BX145" s="213">
        <f t="shared" si="28"/>
        <v>1304900</v>
      </c>
      <c r="BY145" s="213">
        <f t="shared" si="28"/>
        <v>1551038</v>
      </c>
      <c r="BZ145" s="213">
        <f>BZ143-BZ144-BZ146-BZ147-BZ148-BZ149</f>
        <v>2449411</v>
      </c>
      <c r="CA145" s="223"/>
      <c r="CB145" s="223"/>
      <c r="CC145" s="223"/>
    </row>
    <row r="146" spans="1:83" s="211" customFormat="1" x14ac:dyDescent="0.5">
      <c r="A146" s="210"/>
      <c r="B146" s="210"/>
      <c r="C146" s="206" t="s">
        <v>136</v>
      </c>
      <c r="D146" s="210"/>
      <c r="E146" s="210"/>
      <c r="F146" s="210"/>
      <c r="G146" s="210"/>
      <c r="H146" s="210"/>
      <c r="I146" s="210"/>
      <c r="J146" s="210"/>
      <c r="K146" s="210"/>
      <c r="L146" s="210"/>
      <c r="M146" s="210"/>
      <c r="N146" s="223"/>
      <c r="O146" s="223"/>
      <c r="P146" s="223"/>
      <c r="Q146" s="223"/>
      <c r="R146" s="223"/>
      <c r="S146" s="223"/>
      <c r="T146" s="223"/>
      <c r="U146" s="223"/>
      <c r="V146" s="223"/>
      <c r="W146" s="225">
        <f t="shared" ref="W146:AC146" si="29">W125*0.7%</f>
        <v>2.6553799999999996</v>
      </c>
      <c r="X146" s="225">
        <f t="shared" si="29"/>
        <v>3.2195799999999997</v>
      </c>
      <c r="Y146" s="225">
        <f t="shared" si="29"/>
        <v>3.3611199999999997</v>
      </c>
      <c r="Z146" s="225">
        <f t="shared" si="29"/>
        <v>3.5725199999999999</v>
      </c>
      <c r="AA146" s="225">
        <f t="shared" si="29"/>
        <v>3.5957599999999994</v>
      </c>
      <c r="AB146" s="225">
        <f t="shared" si="29"/>
        <v>3.4854399999999996</v>
      </c>
      <c r="AC146" s="225">
        <f t="shared" si="29"/>
        <v>3.7715999999999994</v>
      </c>
      <c r="AD146" s="213">
        <f t="shared" ref="AD146:BI146" si="30">AD129</f>
        <v>4.3</v>
      </c>
      <c r="AE146" s="213">
        <f t="shared" si="30"/>
        <v>5</v>
      </c>
      <c r="AF146" s="213">
        <f t="shared" si="30"/>
        <v>7</v>
      </c>
      <c r="AG146" s="213">
        <f t="shared" si="30"/>
        <v>9</v>
      </c>
      <c r="AH146" s="213">
        <f t="shared" si="30"/>
        <v>17</v>
      </c>
      <c r="AI146" s="213">
        <f t="shared" si="30"/>
        <v>21</v>
      </c>
      <c r="AJ146" s="213">
        <f t="shared" si="30"/>
        <v>23</v>
      </c>
      <c r="AK146" s="213">
        <f t="shared" si="30"/>
        <v>27</v>
      </c>
      <c r="AL146" s="213">
        <f t="shared" si="30"/>
        <v>53</v>
      </c>
      <c r="AM146" s="213">
        <f t="shared" si="30"/>
        <v>65</v>
      </c>
      <c r="AN146" s="213">
        <f t="shared" si="30"/>
        <v>104.60000000000001</v>
      </c>
      <c r="AO146" s="213">
        <f t="shared" si="30"/>
        <v>126.2</v>
      </c>
      <c r="AP146" s="213">
        <f t="shared" si="30"/>
        <v>393</v>
      </c>
      <c r="AQ146" s="213">
        <f t="shared" si="30"/>
        <v>383</v>
      </c>
      <c r="AR146" s="213">
        <f t="shared" si="30"/>
        <v>372</v>
      </c>
      <c r="AS146" s="213">
        <f t="shared" si="30"/>
        <v>310</v>
      </c>
      <c r="AT146" s="213">
        <f t="shared" si="30"/>
        <v>448</v>
      </c>
      <c r="AU146" s="213">
        <f t="shared" si="30"/>
        <v>622</v>
      </c>
      <c r="AV146" s="213">
        <f t="shared" si="30"/>
        <v>236</v>
      </c>
      <c r="AW146" s="213">
        <f t="shared" si="30"/>
        <v>511</v>
      </c>
      <c r="AX146" s="213">
        <f t="shared" si="30"/>
        <v>1140</v>
      </c>
      <c r="AY146" s="213">
        <f t="shared" si="30"/>
        <v>7200</v>
      </c>
      <c r="AZ146" s="213">
        <f t="shared" si="30"/>
        <v>16500</v>
      </c>
      <c r="BA146" s="213">
        <f t="shared" si="30"/>
        <v>25800</v>
      </c>
      <c r="BB146" s="213">
        <f t="shared" si="30"/>
        <v>56400</v>
      </c>
      <c r="BC146" s="213">
        <f t="shared" si="30"/>
        <v>56400</v>
      </c>
      <c r="BD146" s="213">
        <f t="shared" si="30"/>
        <v>2310</v>
      </c>
      <c r="BE146" s="213">
        <f t="shared" si="30"/>
        <v>5800</v>
      </c>
      <c r="BF146" s="213">
        <f t="shared" si="30"/>
        <v>8557</v>
      </c>
      <c r="BG146" s="213">
        <f t="shared" si="30"/>
        <v>18656</v>
      </c>
      <c r="BH146" s="213">
        <f t="shared" si="30"/>
        <v>90093</v>
      </c>
      <c r="BI146" s="213">
        <f t="shared" si="30"/>
        <v>69286</v>
      </c>
      <c r="BJ146" s="213">
        <f t="shared" ref="BJ146:BZ146" si="31">BJ129</f>
        <v>63677</v>
      </c>
      <c r="BK146" s="213">
        <f t="shared" si="31"/>
        <v>53362</v>
      </c>
      <c r="BL146" s="213">
        <f t="shared" si="31"/>
        <v>59000</v>
      </c>
      <c r="BM146" s="213">
        <f t="shared" si="31"/>
        <v>62900</v>
      </c>
      <c r="BN146" s="213">
        <f t="shared" si="31"/>
        <v>74800</v>
      </c>
      <c r="BO146" s="213">
        <f t="shared" si="31"/>
        <v>75300</v>
      </c>
      <c r="BP146" s="213">
        <f t="shared" si="31"/>
        <v>95100</v>
      </c>
      <c r="BQ146" s="213">
        <f t="shared" si="31"/>
        <v>125000</v>
      </c>
      <c r="BR146" s="213">
        <f t="shared" si="31"/>
        <v>141000</v>
      </c>
      <c r="BS146" s="213">
        <f t="shared" si="31"/>
        <v>173000</v>
      </c>
      <c r="BT146" s="213">
        <f t="shared" si="31"/>
        <v>262000</v>
      </c>
      <c r="BU146" s="213">
        <f t="shared" si="31"/>
        <v>229500</v>
      </c>
      <c r="BV146" s="213">
        <f t="shared" si="31"/>
        <v>249000</v>
      </c>
      <c r="BW146" s="213">
        <f t="shared" si="31"/>
        <v>236000</v>
      </c>
      <c r="BX146" s="213">
        <f t="shared" si="31"/>
        <v>309000</v>
      </c>
      <c r="BY146" s="213">
        <f t="shared" si="31"/>
        <v>357000</v>
      </c>
      <c r="BZ146" s="213">
        <f t="shared" si="31"/>
        <v>386000</v>
      </c>
      <c r="CA146" s="223"/>
      <c r="CB146" s="223"/>
      <c r="CC146" s="223"/>
    </row>
    <row r="147" spans="1:83" s="211" customFormat="1" x14ac:dyDescent="0.5">
      <c r="A147" s="210"/>
      <c r="B147" s="210"/>
      <c r="C147" s="206" t="s">
        <v>141</v>
      </c>
      <c r="D147" s="210"/>
      <c r="E147" s="210"/>
      <c r="F147" s="210"/>
      <c r="G147" s="210"/>
      <c r="H147" s="210"/>
      <c r="I147" s="210"/>
      <c r="J147" s="210"/>
      <c r="K147" s="210"/>
      <c r="L147" s="210"/>
      <c r="M147" s="210"/>
      <c r="N147" s="223"/>
      <c r="O147" s="223"/>
      <c r="P147" s="223"/>
      <c r="Q147" s="223"/>
      <c r="R147" s="223"/>
      <c r="S147" s="223"/>
      <c r="T147" s="223"/>
      <c r="U147" s="223"/>
      <c r="V147" s="223"/>
      <c r="W147" s="213">
        <f t="shared" ref="W147:BB147" si="32">W135</f>
        <v>11.34</v>
      </c>
      <c r="X147" s="213">
        <f t="shared" si="32"/>
        <v>14.459999999999999</v>
      </c>
      <c r="Y147" s="213">
        <f t="shared" si="32"/>
        <v>15.5</v>
      </c>
      <c r="Z147" s="213">
        <f t="shared" si="32"/>
        <v>16.18</v>
      </c>
      <c r="AA147" s="213">
        <f t="shared" si="32"/>
        <v>13.639999999999999</v>
      </c>
      <c r="AB147" s="213">
        <f t="shared" si="32"/>
        <v>1.5</v>
      </c>
      <c r="AC147" s="213">
        <f t="shared" si="32"/>
        <v>0.43999999999999995</v>
      </c>
      <c r="AD147" s="213">
        <f t="shared" si="32"/>
        <v>0</v>
      </c>
      <c r="AE147" s="213">
        <f t="shared" si="32"/>
        <v>9.8999999999999986</v>
      </c>
      <c r="AF147" s="213">
        <f t="shared" si="32"/>
        <v>29.1</v>
      </c>
      <c r="AG147" s="213">
        <f t="shared" si="32"/>
        <v>49.3</v>
      </c>
      <c r="AH147" s="213">
        <f t="shared" si="32"/>
        <v>121.5</v>
      </c>
      <c r="AI147" s="213">
        <f t="shared" si="32"/>
        <v>101</v>
      </c>
      <c r="AJ147" s="213">
        <f t="shared" si="32"/>
        <v>118.70806433517451</v>
      </c>
      <c r="AK147" s="213">
        <f t="shared" si="32"/>
        <v>141.52534799645215</v>
      </c>
      <c r="AL147" s="213">
        <f t="shared" si="32"/>
        <v>171</v>
      </c>
      <c r="AM147" s="213">
        <f t="shared" si="32"/>
        <v>165</v>
      </c>
      <c r="AN147" s="213">
        <f t="shared" si="32"/>
        <v>566</v>
      </c>
      <c r="AO147" s="213">
        <f t="shared" si="32"/>
        <v>373</v>
      </c>
      <c r="AP147" s="213">
        <f t="shared" si="32"/>
        <v>464</v>
      </c>
      <c r="AQ147" s="213">
        <f t="shared" si="32"/>
        <v>632</v>
      </c>
      <c r="AR147" s="213">
        <f t="shared" si="32"/>
        <v>774</v>
      </c>
      <c r="AS147" s="213">
        <f t="shared" si="32"/>
        <v>992</v>
      </c>
      <c r="AT147" s="213">
        <f t="shared" si="32"/>
        <v>1187</v>
      </c>
      <c r="AU147" s="213">
        <f t="shared" si="32"/>
        <v>1160</v>
      </c>
      <c r="AV147" s="213">
        <f t="shared" si="32"/>
        <v>932</v>
      </c>
      <c r="AW147" s="213">
        <f t="shared" si="32"/>
        <v>2876</v>
      </c>
      <c r="AX147" s="213">
        <f t="shared" si="32"/>
        <v>8045</v>
      </c>
      <c r="AY147" s="213">
        <f t="shared" si="32"/>
        <v>9120</v>
      </c>
      <c r="AZ147" s="213">
        <f t="shared" si="32"/>
        <v>19230</v>
      </c>
      <c r="BA147" s="213">
        <f t="shared" si="32"/>
        <v>38480</v>
      </c>
      <c r="BB147" s="213">
        <f t="shared" si="32"/>
        <v>106010.00000000001</v>
      </c>
      <c r="BC147" s="213">
        <f t="shared" ref="BC147:BZ147" si="33">BC135</f>
        <v>261250</v>
      </c>
      <c r="BD147" s="213">
        <f t="shared" si="33"/>
        <v>8612</v>
      </c>
      <c r="BE147" s="213">
        <f t="shared" si="33"/>
        <v>20581.400000000001</v>
      </c>
      <c r="BF147" s="213">
        <f t="shared" si="33"/>
        <v>38261.549999999996</v>
      </c>
      <c r="BG147" s="213">
        <f t="shared" si="33"/>
        <v>55767.799999999996</v>
      </c>
      <c r="BH147" s="213">
        <f t="shared" si="33"/>
        <v>40119.75</v>
      </c>
      <c r="BI147" s="213">
        <f t="shared" si="33"/>
        <v>66367</v>
      </c>
      <c r="BJ147" s="213">
        <f t="shared" si="33"/>
        <v>63999.05</v>
      </c>
      <c r="BK147" s="213">
        <f t="shared" si="33"/>
        <v>100940</v>
      </c>
      <c r="BL147" s="213">
        <f t="shared" si="33"/>
        <v>104133</v>
      </c>
      <c r="BM147" s="213">
        <f t="shared" si="33"/>
        <v>126793</v>
      </c>
      <c r="BN147" s="213">
        <f t="shared" si="33"/>
        <v>149613</v>
      </c>
      <c r="BO147" s="213">
        <f t="shared" si="33"/>
        <v>234170</v>
      </c>
      <c r="BP147" s="213">
        <f t="shared" si="33"/>
        <v>230516</v>
      </c>
      <c r="BQ147" s="213">
        <f t="shared" si="33"/>
        <v>234224</v>
      </c>
      <c r="BR147" s="213">
        <f t="shared" si="33"/>
        <v>236504</v>
      </c>
      <c r="BS147" s="213">
        <f t="shared" si="33"/>
        <v>283334</v>
      </c>
      <c r="BT147" s="213">
        <f t="shared" si="33"/>
        <v>330164</v>
      </c>
      <c r="BU147" s="213">
        <f t="shared" si="33"/>
        <v>378557</v>
      </c>
      <c r="BV147" s="213">
        <f t="shared" si="33"/>
        <v>388676</v>
      </c>
      <c r="BW147" s="213">
        <f t="shared" si="33"/>
        <v>407934</v>
      </c>
      <c r="BX147" s="213">
        <f t="shared" si="33"/>
        <v>461650</v>
      </c>
      <c r="BY147" s="213">
        <f t="shared" si="33"/>
        <v>611409</v>
      </c>
      <c r="BZ147" s="213">
        <f t="shared" si="33"/>
        <v>580549</v>
      </c>
      <c r="CA147" s="223"/>
      <c r="CB147" s="223"/>
      <c r="CC147" s="223"/>
    </row>
    <row r="148" spans="1:83" s="211" customFormat="1" x14ac:dyDescent="0.5">
      <c r="A148" s="210"/>
      <c r="B148" s="210"/>
      <c r="C148" s="206" t="s">
        <v>370</v>
      </c>
      <c r="D148" s="210"/>
      <c r="E148" s="210"/>
      <c r="F148" s="210"/>
      <c r="G148" s="210"/>
      <c r="H148" s="210"/>
      <c r="I148" s="210"/>
      <c r="J148" s="210"/>
      <c r="K148" s="210"/>
      <c r="L148" s="210"/>
      <c r="M148" s="210"/>
      <c r="N148" s="223"/>
      <c r="O148" s="223"/>
      <c r="P148" s="223"/>
      <c r="Q148" s="223"/>
      <c r="R148" s="223"/>
      <c r="S148" s="223"/>
      <c r="T148" s="223"/>
      <c r="U148" s="223"/>
      <c r="V148" s="223"/>
      <c r="W148" s="213">
        <f t="shared" ref="W148:AW148" si="34">W130-W137</f>
        <v>124.4</v>
      </c>
      <c r="X148" s="213">
        <f t="shared" si="34"/>
        <v>135.74</v>
      </c>
      <c r="Y148" s="213">
        <f t="shared" si="34"/>
        <v>139.63999999999999</v>
      </c>
      <c r="Z148" s="213">
        <f t="shared" si="34"/>
        <v>130.46</v>
      </c>
      <c r="AA148" s="213">
        <f t="shared" si="34"/>
        <v>107.9</v>
      </c>
      <c r="AB148" s="213">
        <f t="shared" si="34"/>
        <v>109.14</v>
      </c>
      <c r="AC148" s="213">
        <f t="shared" si="34"/>
        <v>106</v>
      </c>
      <c r="AD148" s="213">
        <f t="shared" si="34"/>
        <v>96</v>
      </c>
      <c r="AE148" s="213">
        <f t="shared" si="34"/>
        <v>83.03</v>
      </c>
      <c r="AF148" s="213">
        <f t="shared" si="34"/>
        <v>107.1</v>
      </c>
      <c r="AG148" s="213">
        <f t="shared" si="34"/>
        <v>199.5</v>
      </c>
      <c r="AH148" s="213">
        <f t="shared" si="34"/>
        <v>168.5</v>
      </c>
      <c r="AI148" s="213">
        <f t="shared" si="34"/>
        <v>176</v>
      </c>
      <c r="AJ148" s="213">
        <f t="shared" si="34"/>
        <v>99.020984167501922</v>
      </c>
      <c r="AK148" s="213">
        <f t="shared" si="34"/>
        <v>251.02113198717163</v>
      </c>
      <c r="AL148" s="213">
        <f t="shared" si="34"/>
        <v>315</v>
      </c>
      <c r="AM148" s="213">
        <f t="shared" si="34"/>
        <v>392</v>
      </c>
      <c r="AN148" s="213">
        <f t="shared" si="34"/>
        <v>680</v>
      </c>
      <c r="AO148" s="213">
        <f t="shared" si="34"/>
        <v>424</v>
      </c>
      <c r="AP148" s="213">
        <f t="shared" si="34"/>
        <v>477</v>
      </c>
      <c r="AQ148" s="213">
        <f t="shared" si="34"/>
        <v>586</v>
      </c>
      <c r="AR148" s="213">
        <f t="shared" si="34"/>
        <v>545</v>
      </c>
      <c r="AS148" s="213">
        <f t="shared" si="34"/>
        <v>795</v>
      </c>
      <c r="AT148" s="213">
        <f t="shared" si="34"/>
        <v>1401</v>
      </c>
      <c r="AU148" s="213">
        <f t="shared" si="34"/>
        <v>922</v>
      </c>
      <c r="AV148" s="213">
        <f t="shared" si="34"/>
        <v>759</v>
      </c>
      <c r="AW148" s="213">
        <f t="shared" si="34"/>
        <v>1093</v>
      </c>
      <c r="AX148" s="213">
        <f>AX130-AX132</f>
        <v>1885</v>
      </c>
      <c r="AY148" s="213">
        <f>AY130-AY132</f>
        <v>1660</v>
      </c>
      <c r="AZ148" s="213">
        <f>AZ130-AZ132</f>
        <v>3220</v>
      </c>
      <c r="BA148" s="213">
        <f>BA130-BA132</f>
        <v>8740</v>
      </c>
      <c r="BB148" s="213">
        <f>BB130-BB132</f>
        <v>71000</v>
      </c>
      <c r="BC148" s="213">
        <f t="shared" ref="BC148:BO148" si="35">BC130-BC137-BC132</f>
        <v>143590</v>
      </c>
      <c r="BD148" s="213">
        <f t="shared" si="35"/>
        <v>5521</v>
      </c>
      <c r="BE148" s="213">
        <f t="shared" si="35"/>
        <v>6963</v>
      </c>
      <c r="BF148" s="213">
        <f t="shared" si="35"/>
        <v>29586</v>
      </c>
      <c r="BG148" s="213">
        <f t="shared" si="35"/>
        <v>35477</v>
      </c>
      <c r="BH148" s="213">
        <f t="shared" si="35"/>
        <v>33030</v>
      </c>
      <c r="BI148" s="213">
        <f t="shared" si="35"/>
        <v>34728</v>
      </c>
      <c r="BJ148" s="213">
        <f t="shared" si="35"/>
        <v>37940.950000000012</v>
      </c>
      <c r="BK148" s="213">
        <f t="shared" si="35"/>
        <v>38060</v>
      </c>
      <c r="BL148" s="213">
        <f t="shared" si="35"/>
        <v>65667</v>
      </c>
      <c r="BM148" s="213">
        <f t="shared" si="35"/>
        <v>72107</v>
      </c>
      <c r="BN148" s="213">
        <f t="shared" si="35"/>
        <v>78101</v>
      </c>
      <c r="BO148" s="213">
        <f t="shared" si="35"/>
        <v>136872</v>
      </c>
      <c r="BP148" s="213">
        <f>BP130-BP137-BP132+BP133</f>
        <v>647813</v>
      </c>
      <c r="BQ148" s="213">
        <f t="shared" ref="BQ148:BZ148" si="36">BQ130-BQ137-BQ132</f>
        <v>325197</v>
      </c>
      <c r="BR148" s="213">
        <f t="shared" si="36"/>
        <v>420408</v>
      </c>
      <c r="BS148" s="213">
        <f t="shared" si="36"/>
        <v>481605.5</v>
      </c>
      <c r="BT148" s="213">
        <f t="shared" si="36"/>
        <v>421803</v>
      </c>
      <c r="BU148" s="213">
        <f t="shared" si="36"/>
        <v>509893</v>
      </c>
      <c r="BV148" s="213">
        <f t="shared" si="36"/>
        <v>495678</v>
      </c>
      <c r="BW148" s="213">
        <f t="shared" si="36"/>
        <v>1163948</v>
      </c>
      <c r="BX148" s="213">
        <f t="shared" si="36"/>
        <v>640650</v>
      </c>
      <c r="BY148" s="213">
        <f t="shared" si="36"/>
        <v>1198535</v>
      </c>
      <c r="BZ148" s="213">
        <f t="shared" si="36"/>
        <v>1394608</v>
      </c>
      <c r="CA148" s="223"/>
      <c r="CB148" s="223"/>
      <c r="CC148" s="223"/>
    </row>
    <row r="149" spans="1:83" s="211" customFormat="1" x14ac:dyDescent="0.5">
      <c r="A149" s="210"/>
      <c r="B149" s="210"/>
      <c r="C149" s="206" t="s">
        <v>376</v>
      </c>
      <c r="D149" s="210"/>
      <c r="E149" s="210"/>
      <c r="F149" s="210"/>
      <c r="G149" s="210"/>
      <c r="H149" s="210"/>
      <c r="I149" s="210"/>
      <c r="J149" s="210"/>
      <c r="K149" s="210"/>
      <c r="L149" s="210"/>
      <c r="M149" s="210"/>
      <c r="N149" s="223"/>
      <c r="O149" s="223"/>
      <c r="P149" s="223"/>
      <c r="Q149" s="223"/>
      <c r="R149" s="223"/>
      <c r="S149" s="223"/>
      <c r="T149" s="223"/>
      <c r="U149" s="223"/>
      <c r="V149" s="22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f t="shared" ref="AX149:BZ149" si="37">AX132</f>
        <v>5490</v>
      </c>
      <c r="AY149" s="213">
        <f t="shared" si="37"/>
        <v>4840</v>
      </c>
      <c r="AZ149" s="213">
        <f t="shared" si="37"/>
        <v>9680</v>
      </c>
      <c r="BA149" s="213">
        <f t="shared" si="37"/>
        <v>26160</v>
      </c>
      <c r="BB149" s="213">
        <f t="shared" si="37"/>
        <v>49600</v>
      </c>
      <c r="BC149" s="213">
        <f t="shared" si="37"/>
        <v>230700</v>
      </c>
      <c r="BD149" s="213">
        <f t="shared" si="37"/>
        <v>9550</v>
      </c>
      <c r="BE149" s="213">
        <f t="shared" si="37"/>
        <v>18037</v>
      </c>
      <c r="BF149" s="213">
        <f t="shared" si="37"/>
        <v>42804</v>
      </c>
      <c r="BG149" s="213">
        <f t="shared" si="37"/>
        <v>82015</v>
      </c>
      <c r="BH149" s="213">
        <f t="shared" si="37"/>
        <v>213272</v>
      </c>
      <c r="BI149" s="213">
        <f t="shared" si="37"/>
        <v>357926</v>
      </c>
      <c r="BJ149" s="213">
        <f t="shared" si="37"/>
        <v>383600</v>
      </c>
      <c r="BK149" s="213">
        <f t="shared" si="37"/>
        <v>352700</v>
      </c>
      <c r="BL149" s="213">
        <f t="shared" si="37"/>
        <v>361100</v>
      </c>
      <c r="BM149" s="213">
        <f t="shared" si="37"/>
        <v>371500</v>
      </c>
      <c r="BN149" s="213">
        <f t="shared" si="37"/>
        <v>413000</v>
      </c>
      <c r="BO149" s="213">
        <f t="shared" si="37"/>
        <v>446000</v>
      </c>
      <c r="BP149" s="213">
        <f t="shared" si="37"/>
        <v>520000</v>
      </c>
      <c r="BQ149" s="213">
        <f t="shared" si="37"/>
        <v>604000</v>
      </c>
      <c r="BR149" s="213">
        <f t="shared" si="37"/>
        <v>547000</v>
      </c>
      <c r="BS149" s="213">
        <f t="shared" si="37"/>
        <v>672000</v>
      </c>
      <c r="BT149" s="213">
        <f t="shared" si="37"/>
        <v>750000</v>
      </c>
      <c r="BU149" s="213">
        <f t="shared" si="37"/>
        <v>700000</v>
      </c>
      <c r="BV149" s="213">
        <f t="shared" si="37"/>
        <v>730000</v>
      </c>
      <c r="BW149" s="213">
        <f t="shared" si="37"/>
        <v>503000</v>
      </c>
      <c r="BX149" s="213">
        <f t="shared" si="37"/>
        <v>689800</v>
      </c>
      <c r="BY149" s="213">
        <f t="shared" si="37"/>
        <v>450100</v>
      </c>
      <c r="BZ149" s="213">
        <f t="shared" si="37"/>
        <v>887000</v>
      </c>
      <c r="CA149" s="223"/>
      <c r="CB149" s="223"/>
      <c r="CC149" s="223"/>
    </row>
    <row r="150" spans="1:83" s="8" customFormat="1" x14ac:dyDescent="0.5">
      <c r="A150" s="8" t="s">
        <v>62</v>
      </c>
      <c r="C150" s="42" t="s">
        <v>142</v>
      </c>
      <c r="D150" s="42"/>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c r="BC150" s="46"/>
      <c r="BD150" s="46" t="s">
        <v>359</v>
      </c>
      <c r="BE150" s="46"/>
      <c r="BF150" s="46"/>
      <c r="BG150" s="46"/>
      <c r="BH150" s="46"/>
      <c r="BI150" s="46"/>
      <c r="BJ150" s="46"/>
      <c r="BK150" s="46"/>
      <c r="BL150" s="46"/>
      <c r="BM150" s="46"/>
      <c r="BN150" s="46"/>
      <c r="BO150" s="46"/>
      <c r="BP150" s="46"/>
      <c r="BQ150" s="46"/>
      <c r="BR150" s="46"/>
      <c r="BS150" s="46"/>
      <c r="BT150" s="46"/>
      <c r="BU150" s="46"/>
      <c r="BV150" s="46"/>
      <c r="BW150" s="46"/>
      <c r="BX150" s="46"/>
      <c r="BY150" s="46"/>
      <c r="BZ150" s="46"/>
    </row>
    <row r="151" spans="1:83" s="30" customFormat="1" ht="12.75" customHeight="1" x14ac:dyDescent="0.55000000000000004">
      <c r="A151" s="30" t="s">
        <v>377</v>
      </c>
      <c r="B151" s="66" t="s">
        <v>378</v>
      </c>
      <c r="C151" s="66" t="s">
        <v>379</v>
      </c>
      <c r="D151" s="87"/>
      <c r="V151" s="59"/>
      <c r="W151" s="174">
        <f>X151*(W152/X152)</f>
        <v>3770.0065789473679</v>
      </c>
      <c r="X151" s="174">
        <f>Y151*(X152/Y152)</f>
        <v>3823.1052631578941</v>
      </c>
      <c r="Y151" s="174">
        <f>Z151*(Y152/Z152)</f>
        <v>3939.9223684210519</v>
      </c>
      <c r="Z151" s="174">
        <f>AA151*(Z152/AA152)</f>
        <v>3942.5773026315783</v>
      </c>
      <c r="AA151" s="174">
        <f>AB151*(AA152/AB152)</f>
        <v>3982.4013157894728</v>
      </c>
      <c r="AB151" s="59">
        <v>4035.4999999999991</v>
      </c>
      <c r="AC151" s="59">
        <v>4212.1400000000003</v>
      </c>
      <c r="AD151" s="59">
        <v>4283.58</v>
      </c>
      <c r="AE151" s="59">
        <v>4924.0499999999993</v>
      </c>
      <c r="AF151" s="59">
        <v>5619.5999999999995</v>
      </c>
      <c r="AG151" s="59">
        <v>6318</v>
      </c>
      <c r="AH151" s="59">
        <v>6609.9999999999991</v>
      </c>
      <c r="AI151" s="59">
        <v>6909</v>
      </c>
      <c r="AJ151" s="59">
        <v>7409.9999999999982</v>
      </c>
      <c r="AK151" s="59">
        <v>8346.9999999999982</v>
      </c>
      <c r="AL151" s="59">
        <v>8996.9999999999982</v>
      </c>
      <c r="AM151" s="59">
        <v>10123</v>
      </c>
      <c r="AN151" s="59">
        <v>10650</v>
      </c>
      <c r="AO151" s="59">
        <v>12156</v>
      </c>
      <c r="AP151" s="59">
        <v>14722</v>
      </c>
      <c r="AQ151" s="59">
        <v>21236.000000000004</v>
      </c>
      <c r="AR151" s="59">
        <v>24473</v>
      </c>
      <c r="AS151" s="59">
        <v>49920.000000000007</v>
      </c>
      <c r="AT151" s="68">
        <v>55666</v>
      </c>
      <c r="AU151" s="68">
        <v>85561</v>
      </c>
      <c r="AV151" s="68">
        <v>124460.99999999997</v>
      </c>
      <c r="AW151" s="68">
        <v>267460</v>
      </c>
      <c r="AX151" s="59">
        <v>435500</v>
      </c>
      <c r="AY151" s="59">
        <v>672100</v>
      </c>
      <c r="AZ151" s="59">
        <v>839083.30999999982</v>
      </c>
      <c r="BA151" s="68">
        <v>1787673.73</v>
      </c>
      <c r="BB151" s="68">
        <v>4258354.6100000003</v>
      </c>
      <c r="BC151" s="68">
        <v>12439526.08</v>
      </c>
      <c r="BD151" s="140">
        <v>390536</v>
      </c>
      <c r="BE151" s="68">
        <v>894926</v>
      </c>
      <c r="BF151" s="59">
        <v>1375747</v>
      </c>
      <c r="BG151" s="59">
        <v>1829999</v>
      </c>
      <c r="BH151" s="59">
        <v>2745492.0885000001</v>
      </c>
      <c r="BI151" s="59">
        <v>3870387.4079999989</v>
      </c>
      <c r="BJ151" s="59">
        <v>4400270</v>
      </c>
      <c r="BK151" s="59">
        <v>5367456</v>
      </c>
      <c r="BL151" s="59">
        <v>6122089</v>
      </c>
      <c r="BM151" s="59">
        <v>6633475</v>
      </c>
      <c r="BN151" s="59">
        <v>7570249.9999999991</v>
      </c>
      <c r="BO151" s="59">
        <v>8170699.9999999991</v>
      </c>
      <c r="BP151" s="59">
        <v>9364317.4178999998</v>
      </c>
      <c r="BQ151" s="59">
        <v>10296365.610099997</v>
      </c>
      <c r="BR151" s="59">
        <v>10840666.7126</v>
      </c>
      <c r="BS151" s="59">
        <v>12443497.2366</v>
      </c>
      <c r="BT151" s="59">
        <v>15362227.053900002</v>
      </c>
      <c r="BU151" s="59">
        <v>16050626.595600003</v>
      </c>
      <c r="BV151" s="59">
        <v>18209404.509</v>
      </c>
      <c r="BW151" s="59">
        <v>21186563.4441</v>
      </c>
      <c r="BX151" s="59">
        <v>24497446.506900001</v>
      </c>
      <c r="BY151" s="59">
        <v>34503823.592567302</v>
      </c>
      <c r="BZ151" s="59">
        <v>40946469.965261802</v>
      </c>
      <c r="CA151" s="59">
        <v>47077731.11524161</v>
      </c>
      <c r="CB151" s="59">
        <v>59420121.438400008</v>
      </c>
      <c r="CC151" s="59"/>
      <c r="CD151" s="59"/>
      <c r="CE151" s="59"/>
    </row>
    <row r="152" spans="1:83" s="30" customFormat="1" ht="12.75" customHeight="1" x14ac:dyDescent="0.55000000000000004">
      <c r="C152" s="30" t="s">
        <v>380</v>
      </c>
      <c r="V152" s="59">
        <v>2620</v>
      </c>
      <c r="W152" s="59">
        <v>2840</v>
      </c>
      <c r="X152" s="59">
        <v>2880</v>
      </c>
      <c r="Y152" s="59">
        <v>2968</v>
      </c>
      <c r="Z152" s="59">
        <v>2970</v>
      </c>
      <c r="AA152" s="59">
        <v>3000</v>
      </c>
      <c r="AB152" s="59">
        <v>3040</v>
      </c>
      <c r="AC152" s="59">
        <v>3140</v>
      </c>
      <c r="AD152" s="59">
        <v>3102</v>
      </c>
      <c r="AE152" s="59"/>
      <c r="AF152" s="59"/>
      <c r="AG152" s="59"/>
      <c r="AH152" s="59"/>
      <c r="AI152" s="59"/>
      <c r="AJ152" s="59"/>
      <c r="AK152" s="59"/>
      <c r="AL152" s="59"/>
      <c r="AM152" s="59"/>
      <c r="AN152" s="59"/>
      <c r="AO152" s="59"/>
      <c r="AP152" s="59"/>
      <c r="AQ152" s="59"/>
      <c r="AR152" s="59"/>
      <c r="AS152" s="59"/>
      <c r="AT152" s="59"/>
      <c r="AU152" s="59"/>
      <c r="AV152" s="59"/>
      <c r="AW152" s="59"/>
      <c r="AX152" s="59"/>
      <c r="AY152" s="59"/>
      <c r="AZ152" s="59"/>
      <c r="BA152" s="59"/>
      <c r="BB152" s="59"/>
      <c r="BC152" s="59"/>
      <c r="BD152" s="59"/>
      <c r="BE152" s="59"/>
      <c r="BF152" s="59"/>
      <c r="BG152" s="59"/>
      <c r="BH152" s="59"/>
      <c r="BI152" s="59"/>
      <c r="BJ152" s="59"/>
      <c r="BK152" s="59"/>
      <c r="BL152" s="59"/>
      <c r="BM152" s="59"/>
      <c r="BN152" s="59"/>
      <c r="BO152" s="59"/>
      <c r="BP152" s="59"/>
      <c r="BQ152" s="59"/>
      <c r="BR152" s="59"/>
      <c r="BS152" s="59"/>
      <c r="BT152" s="59"/>
      <c r="BU152" s="59"/>
      <c r="BV152" s="59"/>
      <c r="BW152" s="59"/>
      <c r="BX152" s="59"/>
      <c r="BY152" s="59"/>
      <c r="BZ152" s="59"/>
      <c r="CA152" s="59"/>
      <c r="CB152" s="59"/>
      <c r="CC152" s="59"/>
      <c r="CD152" s="59"/>
      <c r="CE152" s="59"/>
    </row>
    <row r="153" spans="1:83" x14ac:dyDescent="0.5">
      <c r="V153" s="56"/>
      <c r="W153" s="174">
        <v>3537.0000000000005</v>
      </c>
      <c r="X153" s="174">
        <v>3834.0000000000005</v>
      </c>
      <c r="Y153" s="174">
        <v>3888.0000000000005</v>
      </c>
      <c r="Z153" s="174">
        <v>3969.0000000000005</v>
      </c>
      <c r="AA153" s="174">
        <v>3969.0000000000005</v>
      </c>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row>
    <row r="154" spans="1:83" s="30" customFormat="1" ht="12.75" customHeight="1" x14ac:dyDescent="0.55000000000000004">
      <c r="A154" s="30" t="s">
        <v>150</v>
      </c>
      <c r="B154" s="30" t="s">
        <v>103</v>
      </c>
      <c r="C154" s="30" t="s">
        <v>381</v>
      </c>
      <c r="M154" s="118"/>
      <c r="N154" s="118"/>
      <c r="O154" s="118"/>
      <c r="P154" s="118"/>
      <c r="Q154" s="118"/>
      <c r="R154" s="118"/>
      <c r="S154" s="118"/>
      <c r="T154" s="118"/>
      <c r="U154" s="118"/>
      <c r="V154" s="59"/>
      <c r="W154" s="59"/>
      <c r="X154" s="59"/>
      <c r="Y154" s="59"/>
      <c r="Z154" s="59"/>
      <c r="AA154" s="59"/>
      <c r="AB154" s="59">
        <v>83.522735720480739</v>
      </c>
      <c r="AC154" s="59">
        <v>87.045302387859863</v>
      </c>
      <c r="AD154" s="59">
        <v>86.192157027533042</v>
      </c>
      <c r="AE154" s="59">
        <v>82.784090332145283</v>
      </c>
      <c r="AF154" s="59">
        <v>81.110577265285784</v>
      </c>
      <c r="AG154" s="59">
        <v>87.543526432415305</v>
      </c>
      <c r="AH154" s="59">
        <v>88.260211800302571</v>
      </c>
      <c r="AI154" s="59">
        <v>85.627442466348242</v>
      </c>
      <c r="AJ154" s="59">
        <v>85.587044534412954</v>
      </c>
      <c r="AK154" s="59">
        <v>84.796933029831081</v>
      </c>
      <c r="AL154" s="59">
        <v>82.760920306768909</v>
      </c>
      <c r="AM154" s="59">
        <v>88.037143139385577</v>
      </c>
      <c r="AN154" s="59">
        <v>85.74647887323944</v>
      </c>
      <c r="AO154" s="59">
        <v>87.88252714708787</v>
      </c>
      <c r="AP154" s="59">
        <v>88.710772992799889</v>
      </c>
      <c r="AQ154" s="59">
        <v>94.212657750988896</v>
      </c>
      <c r="AR154" s="59">
        <v>91.966657132349923</v>
      </c>
      <c r="AS154" s="59">
        <v>92.596153846153854</v>
      </c>
      <c r="AT154" s="59">
        <v>96.928106923436204</v>
      </c>
      <c r="AU154" s="59">
        <v>91.549888383726227</v>
      </c>
      <c r="AV154" s="59">
        <v>100.43387085111</v>
      </c>
      <c r="AW154" s="59">
        <v>100.37388768413969</v>
      </c>
      <c r="AX154" s="59">
        <v>100.0459242250287</v>
      </c>
      <c r="AY154" s="59">
        <v>97.574765659872043</v>
      </c>
      <c r="AZ154" s="59">
        <v>93.492898815970975</v>
      </c>
      <c r="BA154" s="59">
        <v>92.537788201429791</v>
      </c>
      <c r="BB154" s="59">
        <v>93.981243379822715</v>
      </c>
      <c r="BC154" s="59">
        <v>100.07797724718463</v>
      </c>
      <c r="BD154" s="59">
        <v>99.41234595710948</v>
      </c>
      <c r="BE154" s="59">
        <v>99.002599097579008</v>
      </c>
      <c r="BF154" s="59">
        <v>99.424022004045796</v>
      </c>
      <c r="BG154" s="59">
        <v>99.302076121353068</v>
      </c>
      <c r="BH154" s="59">
        <v>99.59103870497276</v>
      </c>
      <c r="BI154" s="59">
        <v>98.86900210791508</v>
      </c>
      <c r="BJ154" s="59">
        <v>95.676469852986287</v>
      </c>
      <c r="BK154" s="59">
        <v>96.62713583492814</v>
      </c>
      <c r="BL154" s="59">
        <v>91.290570914601204</v>
      </c>
      <c r="BM154" s="59">
        <v>89.260983119707234</v>
      </c>
      <c r="BN154" s="59">
        <v>94.318681681582504</v>
      </c>
      <c r="BO154" s="59">
        <v>91.972441724699223</v>
      </c>
      <c r="BP154" s="59">
        <v>91.962393036130237</v>
      </c>
      <c r="BQ154" s="59">
        <v>92.99175208879366</v>
      </c>
      <c r="BR154" s="59">
        <v>93.633813020025229</v>
      </c>
      <c r="BS154" s="59">
        <v>92.828135217685443</v>
      </c>
      <c r="BT154" s="59">
        <v>89.920634831348195</v>
      </c>
      <c r="BU154" s="59">
        <v>88.279739667511222</v>
      </c>
      <c r="BV154" s="59">
        <v>91.952088997881901</v>
      </c>
      <c r="BW154" s="59">
        <v>91.244224328336784</v>
      </c>
      <c r="BX154" s="59">
        <v>84.720209673911555</v>
      </c>
      <c r="BY154" s="59">
        <v>85.498365250350389</v>
      </c>
      <c r="BZ154" s="59">
        <v>85.896979914561285</v>
      </c>
      <c r="CA154" s="59">
        <v>87.587294985664954</v>
      </c>
      <c r="CB154" s="59">
        <v>85.822735853644289</v>
      </c>
      <c r="CC154" s="59">
        <v>82.054397170823677</v>
      </c>
      <c r="CD154" s="59">
        <v>82.630151254159372</v>
      </c>
      <c r="CE154" s="59">
        <v>86.520305614048652</v>
      </c>
    </row>
    <row r="155" spans="1:83" s="4" customFormat="1" x14ac:dyDescent="0.5">
      <c r="A155" s="30" t="s">
        <v>377</v>
      </c>
      <c r="B155" s="4" t="s">
        <v>103</v>
      </c>
      <c r="C155" s="4" t="s">
        <v>382</v>
      </c>
      <c r="V155" s="38"/>
      <c r="W155" s="38"/>
      <c r="X155" s="38"/>
      <c r="Y155" s="38"/>
      <c r="Z155" s="38"/>
      <c r="AA155" s="38"/>
      <c r="AB155" s="38">
        <f t="shared" ref="AB155:CB155" si="38">AB151*AB154%</f>
        <v>3370.5599999999995</v>
      </c>
      <c r="AC155" s="38">
        <f t="shared" si="38"/>
        <v>3666.4700000000007</v>
      </c>
      <c r="AD155" s="38">
        <f t="shared" si="38"/>
        <v>3692.11</v>
      </c>
      <c r="AE155" s="38">
        <f t="shared" si="38"/>
        <v>4076.3299999999995</v>
      </c>
      <c r="AF155" s="38">
        <f t="shared" si="38"/>
        <v>4558.09</v>
      </c>
      <c r="AG155" s="38">
        <f t="shared" si="38"/>
        <v>5530.9999999999991</v>
      </c>
      <c r="AH155" s="38">
        <f t="shared" si="38"/>
        <v>5833.9999999999991</v>
      </c>
      <c r="AI155" s="38">
        <f t="shared" si="38"/>
        <v>5916</v>
      </c>
      <c r="AJ155" s="38">
        <f t="shared" si="38"/>
        <v>6341.9999999999982</v>
      </c>
      <c r="AK155" s="38">
        <f t="shared" si="38"/>
        <v>7077.9999999999982</v>
      </c>
      <c r="AL155" s="38">
        <f t="shared" si="38"/>
        <v>7445.9999999999982</v>
      </c>
      <c r="AM155" s="38">
        <f t="shared" si="38"/>
        <v>8912.0000000000018</v>
      </c>
      <c r="AN155" s="38">
        <f t="shared" si="38"/>
        <v>9132</v>
      </c>
      <c r="AO155" s="38">
        <f t="shared" si="38"/>
        <v>10683.000000000002</v>
      </c>
      <c r="AP155" s="38">
        <f t="shared" si="38"/>
        <v>13060</v>
      </c>
      <c r="AQ155" s="38">
        <f t="shared" si="38"/>
        <v>20007.000000000004</v>
      </c>
      <c r="AR155" s="38">
        <f t="shared" si="38"/>
        <v>22506.999999999996</v>
      </c>
      <c r="AS155" s="38">
        <f t="shared" si="38"/>
        <v>46224.000000000007</v>
      </c>
      <c r="AT155" s="38">
        <f t="shared" si="38"/>
        <v>53956</v>
      </c>
      <c r="AU155" s="38">
        <f t="shared" si="38"/>
        <v>78331</v>
      </c>
      <c r="AV155" s="38">
        <f t="shared" si="38"/>
        <v>125000.99999999999</v>
      </c>
      <c r="AW155" s="38">
        <f t="shared" si="38"/>
        <v>268460</v>
      </c>
      <c r="AX155" s="38">
        <f t="shared" si="38"/>
        <v>435699.99999999994</v>
      </c>
      <c r="AY155" s="38">
        <f t="shared" si="38"/>
        <v>655800</v>
      </c>
      <c r="AZ155" s="38">
        <f t="shared" si="38"/>
        <v>784483.30999999982</v>
      </c>
      <c r="BA155" s="38">
        <f t="shared" si="38"/>
        <v>1654273.73</v>
      </c>
      <c r="BB155" s="38">
        <f t="shared" si="38"/>
        <v>4002054.6100000003</v>
      </c>
      <c r="BC155" s="38">
        <f t="shared" si="38"/>
        <v>12449226.079999998</v>
      </c>
      <c r="BD155" s="38">
        <f t="shared" si="38"/>
        <v>388240.99940705707</v>
      </c>
      <c r="BE155" s="38">
        <f t="shared" si="38"/>
        <v>885999.99999999988</v>
      </c>
      <c r="BF155" s="38">
        <f t="shared" si="38"/>
        <v>1367823</v>
      </c>
      <c r="BG155" s="38">
        <f t="shared" si="38"/>
        <v>1817227</v>
      </c>
      <c r="BH155" s="38">
        <f t="shared" si="38"/>
        <v>2734264.0885000001</v>
      </c>
      <c r="BI155" s="38">
        <f t="shared" si="38"/>
        <v>3826613.4079999989</v>
      </c>
      <c r="BJ155" s="38">
        <f t="shared" si="38"/>
        <v>4210023</v>
      </c>
      <c r="BK155" s="38">
        <f t="shared" si="38"/>
        <v>5186419</v>
      </c>
      <c r="BL155" s="38">
        <f t="shared" si="38"/>
        <v>5588889.9999999991</v>
      </c>
      <c r="BM155" s="38">
        <f t="shared" si="38"/>
        <v>5921105</v>
      </c>
      <c r="BN155" s="38">
        <f t="shared" si="38"/>
        <v>7140159.9999999991</v>
      </c>
      <c r="BO155" s="38">
        <f t="shared" si="38"/>
        <v>7514792.2959999992</v>
      </c>
      <c r="BP155" s="38">
        <f t="shared" si="38"/>
        <v>8611650.3890000004</v>
      </c>
      <c r="BQ155" s="38">
        <f t="shared" si="38"/>
        <v>9574770.7822999954</v>
      </c>
      <c r="BR155" s="38">
        <f t="shared" si="38"/>
        <v>10150529.5998</v>
      </c>
      <c r="BS155" s="38">
        <f t="shared" si="38"/>
        <v>11551066.4406</v>
      </c>
      <c r="BT155" s="38">
        <f t="shared" si="38"/>
        <v>13813812.091100002</v>
      </c>
      <c r="BU155" s="38">
        <f t="shared" si="38"/>
        <v>14169451.373600002</v>
      </c>
      <c r="BV155" s="38">
        <f t="shared" si="38"/>
        <v>16743927.8401</v>
      </c>
      <c r="BW155" s="38">
        <f t="shared" si="38"/>
        <v>19331515.476399999</v>
      </c>
      <c r="BX155" s="38">
        <f t="shared" si="38"/>
        <v>20754288.045400001</v>
      </c>
      <c r="BY155" s="38">
        <f t="shared" si="38"/>
        <v>29500205.120509762</v>
      </c>
      <c r="BZ155" s="38">
        <f t="shared" si="38"/>
        <v>35171781.081782803</v>
      </c>
      <c r="CA155" s="38">
        <f t="shared" si="38"/>
        <v>41234111.224464841</v>
      </c>
      <c r="CB155" s="38">
        <f t="shared" si="38"/>
        <v>50995973.865992703</v>
      </c>
      <c r="CC155" s="38"/>
      <c r="CD155" s="38"/>
      <c r="CE155" s="38"/>
    </row>
    <row r="156" spans="1:83" s="8" customFormat="1" x14ac:dyDescent="0.5">
      <c r="C156" s="42" t="s">
        <v>140</v>
      </c>
      <c r="D156" s="42"/>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c r="BC156" s="46"/>
      <c r="BD156" s="46"/>
      <c r="BE156" s="46"/>
      <c r="BF156" s="46"/>
      <c r="BG156" s="46"/>
      <c r="BH156" s="46"/>
      <c r="BI156" s="46"/>
      <c r="BJ156" s="46"/>
      <c r="BK156" s="46"/>
      <c r="BL156" s="46"/>
      <c r="BM156" s="46"/>
      <c r="BN156" s="46"/>
      <c r="BO156" s="46"/>
      <c r="BP156" s="46"/>
      <c r="BQ156" s="46"/>
      <c r="BR156" s="46"/>
      <c r="BS156" s="46"/>
      <c r="BT156" s="46"/>
      <c r="BU156" s="46"/>
      <c r="BV156" s="46"/>
      <c r="BW156" s="46"/>
      <c r="BX156" s="46"/>
      <c r="BY156" s="46"/>
      <c r="BZ156" s="46"/>
    </row>
    <row r="157" spans="1:83" s="30" customFormat="1" ht="12.75" customHeight="1" x14ac:dyDescent="0.55000000000000004">
      <c r="A157" s="141" t="s">
        <v>383</v>
      </c>
      <c r="C157" s="30" t="s">
        <v>384</v>
      </c>
      <c r="Q157" s="85">
        <v>210.7</v>
      </c>
      <c r="R157" s="85">
        <v>224.12699999999998</v>
      </c>
      <c r="S157" s="85">
        <v>246.94500000000002</v>
      </c>
      <c r="T157" s="85">
        <v>272.75900000000001</v>
      </c>
      <c r="U157" s="85">
        <v>288.75099999999998</v>
      </c>
      <c r="V157" s="85">
        <v>320.59199999999998</v>
      </c>
      <c r="W157" s="90">
        <v>355.2</v>
      </c>
      <c r="X157" s="85">
        <v>399.6</v>
      </c>
      <c r="Y157" s="90">
        <v>434.09999999999997</v>
      </c>
      <c r="Z157" s="85">
        <v>468.7</v>
      </c>
      <c r="AA157" s="85">
        <v>501.7</v>
      </c>
      <c r="AB157" s="90">
        <v>532.90000000000009</v>
      </c>
      <c r="AC157" s="173">
        <v>387</v>
      </c>
      <c r="AD157" s="59">
        <v>405</v>
      </c>
      <c r="AE157" s="59">
        <v>467</v>
      </c>
      <c r="AF157" s="59">
        <v>482</v>
      </c>
      <c r="AG157" s="59">
        <v>569</v>
      </c>
      <c r="AH157" s="30">
        <v>634</v>
      </c>
      <c r="AI157" s="30">
        <v>642</v>
      </c>
      <c r="AJ157" s="30">
        <v>632</v>
      </c>
      <c r="AK157" s="30">
        <v>710</v>
      </c>
      <c r="AL157" s="30">
        <v>727</v>
      </c>
      <c r="AP157" s="30">
        <v>901</v>
      </c>
      <c r="AQ157" s="30">
        <v>918</v>
      </c>
      <c r="AR157" s="59">
        <v>1037</v>
      </c>
      <c r="AS157" s="59">
        <v>1039</v>
      </c>
      <c r="AT157" s="59">
        <v>1209</v>
      </c>
      <c r="AU157" s="30">
        <v>1224</v>
      </c>
      <c r="AV157" s="59">
        <v>1292</v>
      </c>
      <c r="AW157" s="59">
        <v>1407</v>
      </c>
      <c r="AX157" s="59"/>
      <c r="AY157" s="59"/>
      <c r="AZ157" s="59">
        <v>1909</v>
      </c>
      <c r="BA157" s="59"/>
      <c r="BB157" s="59"/>
      <c r="BC157" s="59"/>
      <c r="BD157" s="59"/>
      <c r="BE157" s="59">
        <v>2304</v>
      </c>
      <c r="BF157" s="59">
        <v>2367</v>
      </c>
      <c r="BL157" s="30">
        <v>3068</v>
      </c>
      <c r="BM157" s="30">
        <v>5304</v>
      </c>
      <c r="BN157" s="30">
        <v>5806</v>
      </c>
      <c r="BO157" s="30">
        <v>6288</v>
      </c>
      <c r="BP157" s="30">
        <v>6559</v>
      </c>
      <c r="BQ157" s="30">
        <v>6901</v>
      </c>
      <c r="BR157" s="30">
        <v>7354</v>
      </c>
      <c r="BS157" s="30">
        <v>7633</v>
      </c>
      <c r="BT157" s="30">
        <v>7377</v>
      </c>
      <c r="BU157" s="30">
        <v>7224</v>
      </c>
      <c r="BV157" s="30">
        <v>7363</v>
      </c>
      <c r="BW157" s="30">
        <v>7538</v>
      </c>
      <c r="BX157" s="30">
        <v>7964</v>
      </c>
      <c r="BY157" s="30">
        <v>8298</v>
      </c>
      <c r="BZ157" s="30">
        <v>8375</v>
      </c>
      <c r="CA157" s="30">
        <v>8098</v>
      </c>
      <c r="CB157" s="30">
        <v>8329</v>
      </c>
      <c r="CC157" s="85">
        <v>8460</v>
      </c>
    </row>
    <row r="158" spans="1:83" s="30" customFormat="1" ht="12.75" customHeight="1" x14ac:dyDescent="0.55000000000000004">
      <c r="X158" s="59"/>
      <c r="Y158" s="59"/>
      <c r="Z158" s="59"/>
      <c r="AA158" s="59"/>
      <c r="AB158" s="59"/>
      <c r="AC158" s="173"/>
      <c r="AD158" s="59"/>
      <c r="AE158" s="59"/>
      <c r="AF158" s="59"/>
      <c r="AG158" s="59"/>
      <c r="AW158" s="59"/>
      <c r="AX158" s="59"/>
      <c r="AY158" s="59"/>
      <c r="AZ158" s="59"/>
      <c r="BA158" s="59"/>
      <c r="BB158" s="59"/>
      <c r="BC158" s="59"/>
      <c r="BD158" s="59"/>
      <c r="BE158" s="59"/>
      <c r="BF158" s="100"/>
      <c r="BP158" s="142"/>
      <c r="CC158" s="85"/>
    </row>
    <row r="159" spans="1:83" s="30" customFormat="1" ht="12.75" customHeight="1" x14ac:dyDescent="0.55000000000000004">
      <c r="A159" s="141" t="s">
        <v>383</v>
      </c>
      <c r="C159" s="30" t="s">
        <v>385</v>
      </c>
      <c r="Q159" s="192">
        <v>9</v>
      </c>
      <c r="R159" s="192">
        <v>10.5</v>
      </c>
      <c r="S159" s="192">
        <v>12.4</v>
      </c>
      <c r="T159" s="192">
        <v>15.3</v>
      </c>
      <c r="U159" s="192">
        <v>16.100000000000001</v>
      </c>
      <c r="V159" s="192">
        <v>19.5</v>
      </c>
      <c r="W159" s="85">
        <v>16.7</v>
      </c>
      <c r="X159" s="86">
        <v>20.7</v>
      </c>
      <c r="Y159" s="80">
        <v>25.6</v>
      </c>
      <c r="Z159" s="80">
        <v>29.3</v>
      </c>
      <c r="AA159" s="80">
        <v>34.1</v>
      </c>
      <c r="AB159" s="86">
        <v>31.3</v>
      </c>
      <c r="AC159" s="232">
        <v>32.539000000000001</v>
      </c>
      <c r="AD159" s="86">
        <v>38.061999999999998</v>
      </c>
      <c r="AE159" s="86">
        <v>49.358000000000004</v>
      </c>
      <c r="AF159" s="86">
        <v>56.048999999999999</v>
      </c>
      <c r="AG159" s="86">
        <v>26.523</v>
      </c>
      <c r="AH159" s="86"/>
      <c r="AI159" s="86"/>
      <c r="AJ159" s="86"/>
      <c r="AK159" s="86"/>
      <c r="AL159" s="86">
        <v>40.700000000000003</v>
      </c>
      <c r="AP159" s="30">
        <v>45.5</v>
      </c>
      <c r="AQ159" s="30">
        <v>45.9</v>
      </c>
      <c r="AR159" s="30">
        <v>56.8</v>
      </c>
      <c r="AS159" s="30">
        <v>59.9</v>
      </c>
      <c r="AT159" s="30">
        <v>62.8</v>
      </c>
      <c r="AU159" s="30">
        <v>66.7</v>
      </c>
      <c r="AV159" s="30">
        <v>73.099999999999994</v>
      </c>
      <c r="AW159" s="59">
        <v>83</v>
      </c>
      <c r="AX159" s="59">
        <v>101.6</v>
      </c>
      <c r="AY159" s="59"/>
      <c r="AZ159" s="59"/>
      <c r="BA159" s="59"/>
      <c r="BB159" s="59"/>
      <c r="BC159" s="59"/>
      <c r="BD159" s="59"/>
      <c r="BE159" s="59">
        <v>234</v>
      </c>
      <c r="BF159" s="59">
        <v>234.5</v>
      </c>
      <c r="BL159" s="61">
        <v>258</v>
      </c>
      <c r="BM159" s="61">
        <v>256</v>
      </c>
      <c r="BN159" s="30">
        <v>266</v>
      </c>
      <c r="BP159" s="30">
        <v>519</v>
      </c>
      <c r="BQ159" s="30">
        <v>540</v>
      </c>
      <c r="BR159" s="30">
        <f>BR160+BR161</f>
        <v>655</v>
      </c>
      <c r="BS159" s="30">
        <f t="shared" ref="BS159:CC159" si="39">BS160+BS161</f>
        <v>683</v>
      </c>
      <c r="BT159" s="30">
        <f t="shared" si="39"/>
        <v>698</v>
      </c>
      <c r="BU159" s="30">
        <f t="shared" si="39"/>
        <v>728</v>
      </c>
      <c r="BV159" s="30">
        <f t="shared" si="39"/>
        <v>813</v>
      </c>
      <c r="BW159" s="30">
        <f t="shared" si="39"/>
        <v>954</v>
      </c>
      <c r="BX159" s="30">
        <f t="shared" si="39"/>
        <v>1090</v>
      </c>
      <c r="BY159" s="30">
        <f t="shared" si="39"/>
        <v>1194</v>
      </c>
      <c r="BZ159" s="30">
        <f t="shared" si="39"/>
        <v>1224</v>
      </c>
      <c r="CA159" s="30">
        <f t="shared" si="39"/>
        <v>1209</v>
      </c>
      <c r="CB159" s="30">
        <f t="shared" si="39"/>
        <v>1252</v>
      </c>
      <c r="CC159" s="30">
        <f t="shared" si="39"/>
        <v>1364</v>
      </c>
    </row>
    <row r="160" spans="1:83" s="30" customFormat="1" ht="12.75" customHeight="1" x14ac:dyDescent="0.55000000000000004">
      <c r="C160" s="87" t="s">
        <v>386</v>
      </c>
      <c r="W160" s="85"/>
      <c r="X160" s="86">
        <v>16.8</v>
      </c>
      <c r="Y160" s="86">
        <v>21</v>
      </c>
      <c r="Z160" s="86">
        <v>24.3</v>
      </c>
      <c r="AA160" s="86">
        <v>28.6</v>
      </c>
      <c r="AB160" s="86">
        <v>24.8</v>
      </c>
      <c r="AC160" s="232">
        <v>25.84</v>
      </c>
      <c r="AD160" s="86">
        <v>30.236000000000001</v>
      </c>
      <c r="AE160" s="86">
        <v>39.163000000000004</v>
      </c>
      <c r="AF160" s="86">
        <v>43.396999999999998</v>
      </c>
      <c r="AG160" s="86">
        <v>9.1999999999999993</v>
      </c>
      <c r="AH160" s="86"/>
      <c r="AI160" s="86"/>
      <c r="AJ160" s="86"/>
      <c r="AK160" s="86"/>
      <c r="AL160" s="86"/>
      <c r="AP160" s="59">
        <v>41.3</v>
      </c>
      <c r="AQ160" s="30">
        <v>41.5</v>
      </c>
      <c r="AU160" s="30">
        <v>61.1</v>
      </c>
      <c r="AV160" s="30">
        <v>66.2</v>
      </c>
      <c r="AW160" s="59">
        <v>75.5</v>
      </c>
      <c r="AX160" s="59"/>
      <c r="AY160" s="59"/>
      <c r="AZ160" s="59">
        <v>1138</v>
      </c>
      <c r="BA160" s="59"/>
      <c r="BB160" s="59"/>
      <c r="BC160" s="59"/>
      <c r="BD160" s="59"/>
      <c r="BE160" s="59"/>
      <c r="BF160" s="59">
        <v>222.29999999999998</v>
      </c>
      <c r="BL160" s="59">
        <v>230</v>
      </c>
      <c r="BM160" s="59">
        <v>229</v>
      </c>
      <c r="BN160" s="59">
        <v>229</v>
      </c>
      <c r="BO160" s="59"/>
      <c r="BP160" s="59">
        <v>468</v>
      </c>
      <c r="BQ160" s="59">
        <v>483</v>
      </c>
      <c r="BR160" s="30">
        <f>BR162+BR163+BR164+BR165</f>
        <v>576</v>
      </c>
      <c r="BS160" s="30">
        <f t="shared" ref="BS160:CC160" si="40">BS162+BS163+BS164+BS165</f>
        <v>592</v>
      </c>
      <c r="BT160" s="30">
        <f t="shared" si="40"/>
        <v>599</v>
      </c>
      <c r="BU160" s="30">
        <f t="shared" si="40"/>
        <v>623</v>
      </c>
      <c r="BV160" s="30">
        <f t="shared" si="40"/>
        <v>699</v>
      </c>
      <c r="BW160" s="30">
        <f t="shared" si="40"/>
        <v>822</v>
      </c>
      <c r="BX160" s="30">
        <f t="shared" si="40"/>
        <v>940</v>
      </c>
      <c r="BY160" s="30">
        <f t="shared" si="40"/>
        <v>1027</v>
      </c>
      <c r="BZ160" s="30">
        <f t="shared" si="40"/>
        <v>1077</v>
      </c>
      <c r="CA160" s="30">
        <f t="shared" si="40"/>
        <v>1051</v>
      </c>
      <c r="CB160" s="30">
        <f t="shared" si="40"/>
        <v>1089</v>
      </c>
      <c r="CC160" s="30">
        <f t="shared" si="40"/>
        <v>1188</v>
      </c>
    </row>
    <row r="161" spans="1:81" s="30" customFormat="1" ht="12.75" customHeight="1" x14ac:dyDescent="0.55000000000000004">
      <c r="C161" s="87" t="s">
        <v>387</v>
      </c>
      <c r="W161" s="85"/>
      <c r="X161" s="86">
        <v>3.9</v>
      </c>
      <c r="Y161" s="86">
        <v>4.5999999999999996</v>
      </c>
      <c r="Z161" s="86">
        <v>5</v>
      </c>
      <c r="AA161" s="86">
        <v>5.5</v>
      </c>
      <c r="AB161" s="86">
        <v>6.5</v>
      </c>
      <c r="AC161" s="232">
        <v>6.6989999999999998</v>
      </c>
      <c r="AD161" s="86">
        <v>7.8260000000000005</v>
      </c>
      <c r="AE161" s="86">
        <v>10.195</v>
      </c>
      <c r="AF161" s="86">
        <v>12.652000000000001</v>
      </c>
      <c r="AG161" s="86">
        <v>17.323</v>
      </c>
      <c r="AH161" s="86">
        <v>21.548000000000002</v>
      </c>
      <c r="AI161" s="86">
        <v>27.026</v>
      </c>
      <c r="AJ161" s="86">
        <v>31.637</v>
      </c>
      <c r="AK161" s="86">
        <v>35.923999999999999</v>
      </c>
      <c r="AL161" s="86"/>
      <c r="AP161" s="59">
        <v>4.2</v>
      </c>
      <c r="AQ161" s="30">
        <v>4.4000000000000004</v>
      </c>
      <c r="AU161" s="30">
        <v>5.6</v>
      </c>
      <c r="AV161" s="30">
        <v>6.9</v>
      </c>
      <c r="AW161" s="59">
        <v>7.3999999999999995</v>
      </c>
      <c r="AX161" s="59"/>
      <c r="AY161" s="59"/>
      <c r="AZ161" s="59"/>
      <c r="BA161" s="59"/>
      <c r="BB161" s="59"/>
      <c r="BC161" s="59"/>
      <c r="BD161" s="59"/>
      <c r="BE161" s="59"/>
      <c r="BF161" s="59"/>
      <c r="BL161" s="59">
        <v>28</v>
      </c>
      <c r="BM161" s="59">
        <v>27</v>
      </c>
      <c r="BN161" s="59">
        <v>36</v>
      </c>
      <c r="BO161" s="59"/>
      <c r="BP161" s="59">
        <v>50</v>
      </c>
      <c r="BQ161" s="59">
        <v>76</v>
      </c>
      <c r="BR161" s="30">
        <f>BR166+BR167</f>
        <v>79</v>
      </c>
      <c r="BS161" s="30">
        <f t="shared" ref="BS161:CC161" si="41">BS166+BS167</f>
        <v>91</v>
      </c>
      <c r="BT161" s="30">
        <f t="shared" si="41"/>
        <v>99</v>
      </c>
      <c r="BU161" s="30">
        <f t="shared" si="41"/>
        <v>105</v>
      </c>
      <c r="BV161" s="30">
        <f t="shared" si="41"/>
        <v>114</v>
      </c>
      <c r="BW161" s="30">
        <f t="shared" si="41"/>
        <v>132</v>
      </c>
      <c r="BX161" s="30">
        <f t="shared" si="41"/>
        <v>150</v>
      </c>
      <c r="BY161" s="30">
        <f t="shared" si="41"/>
        <v>167</v>
      </c>
      <c r="BZ161" s="30">
        <f t="shared" si="41"/>
        <v>147</v>
      </c>
      <c r="CA161" s="30">
        <f t="shared" si="41"/>
        <v>158</v>
      </c>
      <c r="CB161" s="30">
        <f t="shared" si="41"/>
        <v>163</v>
      </c>
      <c r="CC161" s="30">
        <f t="shared" si="41"/>
        <v>176</v>
      </c>
    </row>
    <row r="162" spans="1:81" s="30" customFormat="1" ht="12.75" customHeight="1" x14ac:dyDescent="0.55000000000000004">
      <c r="C162" s="87" t="s">
        <v>160</v>
      </c>
      <c r="X162" s="59"/>
      <c r="Y162" s="59"/>
      <c r="Z162" s="59"/>
      <c r="AA162" s="59"/>
      <c r="AB162" s="59"/>
      <c r="AC162" s="198"/>
      <c r="AD162" s="59"/>
      <c r="AE162" s="59"/>
      <c r="AF162" s="59"/>
      <c r="AG162" s="59"/>
      <c r="AP162" s="30">
        <v>10.7</v>
      </c>
      <c r="AW162" s="59">
        <v>23.2</v>
      </c>
      <c r="AX162" s="59"/>
      <c r="AY162" s="109"/>
      <c r="AZ162" s="59"/>
      <c r="BA162" s="59"/>
      <c r="BB162" s="59"/>
      <c r="BC162" s="59"/>
      <c r="BD162" s="59"/>
      <c r="BE162" s="59"/>
      <c r="BF162" s="59">
        <v>64.099999999999994</v>
      </c>
      <c r="BL162" s="30">
        <v>72</v>
      </c>
      <c r="BM162" s="30">
        <v>71</v>
      </c>
      <c r="BN162" s="30">
        <v>71</v>
      </c>
      <c r="BO162" s="30">
        <v>71</v>
      </c>
      <c r="BP162" s="30">
        <v>154</v>
      </c>
      <c r="BQ162" s="30">
        <v>156</v>
      </c>
      <c r="BR162" s="30">
        <v>183</v>
      </c>
      <c r="BS162" s="30">
        <v>179</v>
      </c>
      <c r="BT162" s="30">
        <v>180</v>
      </c>
      <c r="BU162" s="30">
        <v>179</v>
      </c>
      <c r="BV162" s="30">
        <v>209</v>
      </c>
      <c r="BW162" s="30">
        <v>278</v>
      </c>
      <c r="BX162" s="30">
        <v>292</v>
      </c>
      <c r="BY162" s="30">
        <v>296</v>
      </c>
      <c r="BZ162" s="30">
        <v>324</v>
      </c>
      <c r="CA162" s="30">
        <v>320</v>
      </c>
      <c r="CB162" s="30">
        <v>317</v>
      </c>
      <c r="CC162" s="85">
        <v>347</v>
      </c>
    </row>
    <row r="163" spans="1:81" s="30" customFormat="1" ht="12.75" customHeight="1" x14ac:dyDescent="0.55000000000000004">
      <c r="C163" s="87" t="s">
        <v>161</v>
      </c>
      <c r="X163" s="59"/>
      <c r="Y163" s="59"/>
      <c r="Z163" s="59"/>
      <c r="AA163" s="59"/>
      <c r="AB163" s="59"/>
      <c r="AC163" s="198"/>
      <c r="AD163" s="59"/>
      <c r="AE163" s="59"/>
      <c r="AF163" s="59"/>
      <c r="AG163" s="59"/>
      <c r="AP163" s="30">
        <v>10.5</v>
      </c>
      <c r="AW163" s="59">
        <v>19.399999999999999</v>
      </c>
      <c r="AX163" s="59"/>
      <c r="AY163" s="59"/>
      <c r="AZ163" s="59"/>
      <c r="BA163" s="59"/>
      <c r="BB163" s="59"/>
      <c r="BC163" s="59"/>
      <c r="BD163" s="59"/>
      <c r="BE163" s="59"/>
      <c r="BF163" s="59">
        <v>60.4</v>
      </c>
      <c r="BL163" s="30">
        <v>63</v>
      </c>
      <c r="BM163" s="30">
        <v>63</v>
      </c>
      <c r="BN163" s="30">
        <v>66</v>
      </c>
      <c r="BO163" s="30">
        <v>65</v>
      </c>
      <c r="BP163" s="30">
        <v>131</v>
      </c>
      <c r="BQ163" s="30">
        <v>132</v>
      </c>
      <c r="BR163" s="30">
        <v>156</v>
      </c>
      <c r="BS163" s="30">
        <v>158</v>
      </c>
      <c r="BT163" s="30">
        <v>157</v>
      </c>
      <c r="BU163" s="30">
        <v>165</v>
      </c>
      <c r="BV163" s="30">
        <v>180</v>
      </c>
      <c r="BW163" s="30">
        <v>202</v>
      </c>
      <c r="BX163" s="30">
        <v>272</v>
      </c>
      <c r="BY163" s="30">
        <v>280</v>
      </c>
      <c r="BZ163" s="30">
        <v>277</v>
      </c>
      <c r="CA163" s="30">
        <v>279</v>
      </c>
      <c r="CB163" s="30">
        <v>296</v>
      </c>
      <c r="CC163" s="85">
        <v>306</v>
      </c>
    </row>
    <row r="164" spans="1:81" s="30" customFormat="1" ht="12.75" customHeight="1" x14ac:dyDescent="0.55000000000000004">
      <c r="C164" s="87" t="s">
        <v>162</v>
      </c>
      <c r="X164" s="59"/>
      <c r="Y164" s="59"/>
      <c r="Z164" s="59"/>
      <c r="AA164" s="59"/>
      <c r="AB164" s="59"/>
      <c r="AC164" s="198"/>
      <c r="AD164" s="59"/>
      <c r="AE164" s="59"/>
      <c r="AF164" s="59"/>
      <c r="AG164" s="59"/>
      <c r="AP164" s="30">
        <v>10</v>
      </c>
      <c r="AR164" s="143"/>
      <c r="AW164" s="59">
        <v>17.399999999999999</v>
      </c>
      <c r="AX164" s="59"/>
      <c r="AY164" s="59"/>
      <c r="AZ164" s="59"/>
      <c r="BA164" s="59"/>
      <c r="BB164" s="59"/>
      <c r="BC164" s="59"/>
      <c r="BD164" s="59"/>
      <c r="BE164" s="59"/>
      <c r="BF164" s="59">
        <v>54.2</v>
      </c>
      <c r="BL164" s="30">
        <v>53</v>
      </c>
      <c r="BM164" s="30">
        <v>54</v>
      </c>
      <c r="BN164" s="30">
        <v>51</v>
      </c>
      <c r="BO164" s="30">
        <v>57</v>
      </c>
      <c r="BP164" s="30">
        <v>102</v>
      </c>
      <c r="BQ164" s="30">
        <v>108</v>
      </c>
      <c r="BR164" s="30">
        <v>130</v>
      </c>
      <c r="BS164" s="30">
        <v>137</v>
      </c>
      <c r="BT164" s="30">
        <v>140</v>
      </c>
      <c r="BU164" s="30">
        <v>148</v>
      </c>
      <c r="BV164" s="30">
        <v>168</v>
      </c>
      <c r="BW164" s="30">
        <v>180</v>
      </c>
      <c r="BX164" s="30">
        <v>199</v>
      </c>
      <c r="BY164" s="30">
        <v>258</v>
      </c>
      <c r="BZ164" s="30">
        <v>256</v>
      </c>
      <c r="CA164" s="30">
        <v>230</v>
      </c>
      <c r="CB164" s="30">
        <v>259</v>
      </c>
      <c r="CC164" s="85">
        <v>285</v>
      </c>
    </row>
    <row r="165" spans="1:81" s="144" customFormat="1" ht="12.75" customHeight="1" x14ac:dyDescent="0.55000000000000004">
      <c r="A165" s="30"/>
      <c r="B165" s="30"/>
      <c r="C165" s="87" t="s">
        <v>163</v>
      </c>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199"/>
      <c r="AD165" s="66"/>
      <c r="AE165" s="66"/>
      <c r="AF165" s="66"/>
      <c r="AG165" s="66"/>
      <c r="AH165" s="66"/>
      <c r="AI165" s="30"/>
      <c r="AJ165" s="30"/>
      <c r="AK165" s="30"/>
      <c r="AL165" s="30"/>
      <c r="AM165" s="30"/>
      <c r="AN165" s="30"/>
      <c r="AO165" s="30"/>
      <c r="AP165" s="30">
        <v>9.5</v>
      </c>
      <c r="AQ165" s="30"/>
      <c r="AR165" s="30"/>
      <c r="AS165" s="30"/>
      <c r="AT165" s="30"/>
      <c r="AU165" s="30"/>
      <c r="AV165" s="30"/>
      <c r="AW165" s="30">
        <v>15.5</v>
      </c>
      <c r="AX165" s="30"/>
      <c r="AY165" s="30"/>
      <c r="AZ165" s="30"/>
      <c r="BA165" s="30"/>
      <c r="BB165" s="30"/>
      <c r="BC165" s="30"/>
      <c r="BD165" s="30"/>
      <c r="BE165" s="30"/>
      <c r="BF165" s="30">
        <v>43.6</v>
      </c>
      <c r="BG165" s="30"/>
      <c r="BH165" s="30"/>
      <c r="BI165" s="30"/>
      <c r="BJ165" s="30"/>
      <c r="BK165" s="30"/>
      <c r="BL165" s="30">
        <v>42</v>
      </c>
      <c r="BM165" s="30">
        <v>41</v>
      </c>
      <c r="BN165" s="30">
        <v>41</v>
      </c>
      <c r="BO165" s="30">
        <v>49</v>
      </c>
      <c r="BP165" s="30">
        <v>81</v>
      </c>
      <c r="BQ165" s="30">
        <v>87</v>
      </c>
      <c r="BR165" s="30">
        <v>107</v>
      </c>
      <c r="BS165" s="30">
        <v>118</v>
      </c>
      <c r="BT165" s="30">
        <v>122</v>
      </c>
      <c r="BU165" s="144">
        <v>131</v>
      </c>
      <c r="BV165" s="144">
        <v>142</v>
      </c>
      <c r="BW165" s="144">
        <v>162</v>
      </c>
      <c r="BX165" s="144">
        <v>177</v>
      </c>
      <c r="BY165" s="144">
        <v>193</v>
      </c>
      <c r="BZ165" s="144">
        <v>220</v>
      </c>
      <c r="CA165" s="144">
        <v>222</v>
      </c>
      <c r="CB165" s="144">
        <v>217</v>
      </c>
      <c r="CC165" s="144">
        <v>250</v>
      </c>
    </row>
    <row r="166" spans="1:81" s="30" customFormat="1" ht="12.75" customHeight="1" x14ac:dyDescent="0.55000000000000004">
      <c r="C166" s="87" t="s">
        <v>164</v>
      </c>
      <c r="X166" s="59"/>
      <c r="Y166" s="59"/>
      <c r="Z166" s="59"/>
      <c r="AA166" s="59"/>
      <c r="AB166" s="59"/>
      <c r="AC166" s="197"/>
      <c r="AD166" s="114"/>
      <c r="AE166" s="114"/>
      <c r="AF166" s="114"/>
      <c r="AG166" s="114"/>
      <c r="AH166" s="114"/>
      <c r="AI166" s="66"/>
      <c r="AJ166" s="66"/>
      <c r="AP166" s="30">
        <v>2.2000000000000002</v>
      </c>
      <c r="AW166" s="59">
        <v>4.0999999999999996</v>
      </c>
      <c r="AX166" s="59"/>
      <c r="AY166" s="59"/>
      <c r="AZ166" s="59"/>
      <c r="BA166" s="59"/>
      <c r="BB166" s="59"/>
      <c r="BC166" s="59"/>
      <c r="BD166" s="59"/>
      <c r="BE166" s="59"/>
      <c r="BF166" s="59">
        <v>14.1</v>
      </c>
      <c r="BL166" s="30">
        <v>15</v>
      </c>
      <c r="BM166" s="30">
        <v>14</v>
      </c>
      <c r="BN166" s="30">
        <v>18</v>
      </c>
      <c r="BP166" s="30">
        <v>21</v>
      </c>
      <c r="BQ166" s="30">
        <v>25</v>
      </c>
      <c r="BR166" s="30">
        <v>36</v>
      </c>
      <c r="BS166" s="30">
        <v>46</v>
      </c>
      <c r="BT166" s="30">
        <v>53</v>
      </c>
      <c r="BU166" s="30">
        <v>53</v>
      </c>
      <c r="BV166" s="30">
        <v>62</v>
      </c>
      <c r="BW166" s="30">
        <v>69</v>
      </c>
      <c r="BX166" s="30">
        <v>78</v>
      </c>
      <c r="BY166" s="30">
        <v>87</v>
      </c>
      <c r="BZ166" s="30">
        <v>79</v>
      </c>
      <c r="CA166" s="30">
        <v>84</v>
      </c>
      <c r="CB166" s="30">
        <v>88</v>
      </c>
      <c r="CC166" s="85">
        <v>86</v>
      </c>
    </row>
    <row r="167" spans="1:81" s="30" customFormat="1" ht="12.75" customHeight="1" x14ac:dyDescent="0.55000000000000004">
      <c r="C167" s="87" t="s">
        <v>165</v>
      </c>
      <c r="X167" s="59"/>
      <c r="Y167" s="59"/>
      <c r="Z167" s="59"/>
      <c r="AA167" s="59"/>
      <c r="AB167" s="59"/>
      <c r="AC167" s="197"/>
      <c r="AD167" s="68"/>
      <c r="AE167" s="68"/>
      <c r="AF167" s="68"/>
      <c r="AG167" s="68"/>
      <c r="AH167" s="90"/>
      <c r="AP167" s="30">
        <v>2</v>
      </c>
      <c r="AW167" s="59">
        <v>3.3</v>
      </c>
      <c r="AX167" s="59"/>
      <c r="AY167" s="59"/>
      <c r="AZ167" s="59"/>
      <c r="BA167" s="59"/>
      <c r="BB167" s="59"/>
      <c r="BC167" s="59"/>
      <c r="BD167" s="59"/>
      <c r="BE167" s="59"/>
      <c r="BF167" s="59">
        <v>15</v>
      </c>
      <c r="BL167" s="30">
        <v>13</v>
      </c>
      <c r="BM167" s="103">
        <v>13</v>
      </c>
      <c r="BN167" s="30">
        <v>18</v>
      </c>
      <c r="BP167" s="30">
        <v>29</v>
      </c>
      <c r="BQ167" s="30">
        <v>51</v>
      </c>
      <c r="BR167" s="30">
        <v>43</v>
      </c>
      <c r="BS167" s="30">
        <v>45</v>
      </c>
      <c r="BT167" s="30">
        <v>46</v>
      </c>
      <c r="BU167" s="30">
        <v>52</v>
      </c>
      <c r="BV167" s="30">
        <v>52</v>
      </c>
      <c r="BW167" s="30">
        <v>63</v>
      </c>
      <c r="BX167" s="30">
        <v>72</v>
      </c>
      <c r="BY167" s="30">
        <v>80</v>
      </c>
      <c r="BZ167" s="30">
        <v>68</v>
      </c>
      <c r="CA167" s="30">
        <v>74</v>
      </c>
      <c r="CB167" s="30">
        <v>75</v>
      </c>
      <c r="CC167" s="85">
        <v>90</v>
      </c>
    </row>
    <row r="168" spans="1:81" s="30" customFormat="1" ht="12.75" customHeight="1" x14ac:dyDescent="0.55000000000000004">
      <c r="X168" s="59"/>
      <c r="Y168" s="59"/>
      <c r="Z168" s="59"/>
      <c r="AA168" s="59"/>
      <c r="AB168" s="59"/>
      <c r="AC168" s="197"/>
      <c r="AD168" s="68"/>
      <c r="AE168" s="68"/>
      <c r="AF168" s="68"/>
      <c r="AG168" s="68"/>
      <c r="AH168" s="124"/>
      <c r="AW168" s="59"/>
      <c r="AX168" s="59"/>
      <c r="AY168" s="59"/>
      <c r="AZ168" s="59"/>
      <c r="BA168" s="59"/>
      <c r="BB168" s="59"/>
      <c r="BC168" s="59"/>
      <c r="BD168" s="59"/>
      <c r="BE168" s="59"/>
      <c r="BF168" s="59"/>
      <c r="CC168" s="85"/>
    </row>
    <row r="169" spans="1:81" x14ac:dyDescent="0.5">
      <c r="A169" s="141" t="s">
        <v>388</v>
      </c>
      <c r="C169" s="26" t="s">
        <v>421</v>
      </c>
      <c r="AC169" s="200"/>
      <c r="AG169" s="193">
        <f>AG170+AG171+AG172+AG173+AG175</f>
        <v>6516</v>
      </c>
      <c r="AL169" s="26">
        <f>AL170+AL171+AL172+AL173+AL175</f>
        <v>9369</v>
      </c>
      <c r="AQ169" s="26">
        <f>AQ170+AQ171+AQ172+AQ173+AQ175</f>
        <v>12115</v>
      </c>
      <c r="AV169" s="26">
        <f>AV170+AV171+AV172+AV173+AV175</f>
        <v>14361</v>
      </c>
      <c r="BM169" s="26">
        <f>BM172+BM173+BM175</f>
        <v>51066</v>
      </c>
      <c r="BN169" s="26">
        <f>BN172+BN173+BN175</f>
        <v>60147</v>
      </c>
      <c r="BP169" s="26">
        <v>54444</v>
      </c>
      <c r="BQ169" s="26">
        <v>64216</v>
      </c>
      <c r="BR169" s="26">
        <f>BR170+BR173+BR175</f>
        <v>79844</v>
      </c>
      <c r="BS169" s="26">
        <v>88922</v>
      </c>
      <c r="BT169" s="26">
        <v>108295</v>
      </c>
      <c r="BU169" s="26">
        <v>124313</v>
      </c>
      <c r="BV169" s="56">
        <v>137190</v>
      </c>
      <c r="BW169" s="26">
        <v>155082</v>
      </c>
      <c r="BX169" s="26">
        <v>164576</v>
      </c>
      <c r="BY169" s="26">
        <v>169476</v>
      </c>
      <c r="BZ169" s="26">
        <v>174375</v>
      </c>
      <c r="CA169" s="26">
        <v>179569</v>
      </c>
      <c r="CB169" s="26">
        <v>198066</v>
      </c>
      <c r="CC169" s="26">
        <v>201376</v>
      </c>
    </row>
    <row r="170" spans="1:81" s="30" customFormat="1" ht="12.75" customHeight="1" x14ac:dyDescent="0.55000000000000004">
      <c r="A170" s="141" t="s">
        <v>388</v>
      </c>
      <c r="C170" s="30" t="s">
        <v>389</v>
      </c>
      <c r="W170" s="30">
        <v>3344</v>
      </c>
      <c r="X170" s="59">
        <v>4054</v>
      </c>
      <c r="Y170" s="59">
        <v>4225</v>
      </c>
      <c r="Z170" s="59">
        <v>4147</v>
      </c>
      <c r="AA170" s="59">
        <v>3766</v>
      </c>
      <c r="AB170" s="59">
        <v>3184</v>
      </c>
      <c r="AC170" s="173">
        <v>3155</v>
      </c>
      <c r="AD170" s="59">
        <v>3471</v>
      </c>
      <c r="AE170" s="59">
        <v>4029</v>
      </c>
      <c r="AF170" s="59">
        <v>4076</v>
      </c>
      <c r="AG170" s="59">
        <v>3950</v>
      </c>
      <c r="AH170" s="30">
        <v>4097</v>
      </c>
      <c r="AI170" s="30">
        <v>4257</v>
      </c>
      <c r="AJ170" s="30">
        <v>4292</v>
      </c>
      <c r="AK170" s="30">
        <v>4328</v>
      </c>
      <c r="AL170" s="30">
        <v>4083</v>
      </c>
      <c r="AQ170" s="30">
        <f>4606+1490</f>
        <v>6096</v>
      </c>
      <c r="AU170" s="30">
        <v>7934</v>
      </c>
      <c r="AV170" s="30">
        <f>6031+1165</f>
        <v>7196</v>
      </c>
      <c r="AW170" s="59">
        <v>8157</v>
      </c>
      <c r="AX170" s="59"/>
      <c r="AY170" s="59"/>
      <c r="AZ170" s="59">
        <v>16740</v>
      </c>
      <c r="BA170" s="59"/>
      <c r="BB170" s="59"/>
      <c r="BC170" s="59"/>
      <c r="BD170" s="59"/>
      <c r="BE170" s="59"/>
      <c r="BF170" s="59"/>
      <c r="BM170" s="30">
        <v>26418</v>
      </c>
      <c r="BN170" s="30">
        <v>4756</v>
      </c>
      <c r="BP170" s="30">
        <v>13563</v>
      </c>
      <c r="BQ170" s="30">
        <v>13285</v>
      </c>
      <c r="BR170" s="30">
        <v>15300</v>
      </c>
      <c r="BV170" s="30">
        <v>11000</v>
      </c>
      <c r="CA170" s="30">
        <v>7842</v>
      </c>
      <c r="CB170" s="30">
        <v>8000</v>
      </c>
      <c r="CC170" s="85"/>
    </row>
    <row r="171" spans="1:81" s="30" customFormat="1" ht="12.75" customHeight="1" x14ac:dyDescent="0.55000000000000004">
      <c r="A171" s="141"/>
      <c r="C171" s="30" t="s">
        <v>419</v>
      </c>
      <c r="X171" s="59"/>
      <c r="Y171" s="59"/>
      <c r="Z171" s="59"/>
      <c r="AA171" s="59"/>
      <c r="AB171" s="59"/>
      <c r="AC171" s="173"/>
      <c r="AD171" s="59"/>
      <c r="AE171" s="59"/>
      <c r="AF171" s="59"/>
      <c r="AG171" s="59">
        <v>105</v>
      </c>
      <c r="AL171" s="30">
        <v>367</v>
      </c>
      <c r="AQ171" s="30">
        <v>462</v>
      </c>
      <c r="AV171" s="30">
        <v>525</v>
      </c>
      <c r="AW171" s="59"/>
      <c r="AX171" s="59"/>
      <c r="AY171" s="59"/>
      <c r="AZ171" s="59">
        <v>1234</v>
      </c>
      <c r="BA171" s="59"/>
      <c r="BB171" s="59">
        <v>3981</v>
      </c>
      <c r="BC171" s="59"/>
      <c r="BD171" s="59"/>
      <c r="BE171" s="59"/>
      <c r="BF171" s="59"/>
      <c r="CC171" s="85"/>
    </row>
    <row r="172" spans="1:81" s="30" customFormat="1" ht="12.75" customHeight="1" x14ac:dyDescent="0.55000000000000004">
      <c r="C172" s="30" t="s">
        <v>420</v>
      </c>
      <c r="W172" s="30">
        <v>3239</v>
      </c>
      <c r="X172" s="59">
        <v>3338</v>
      </c>
      <c r="Y172" s="59">
        <v>3807</v>
      </c>
      <c r="Z172" s="59">
        <v>4585</v>
      </c>
      <c r="AA172" s="59">
        <v>4040</v>
      </c>
      <c r="AB172" s="59">
        <v>4492</v>
      </c>
      <c r="AC172" s="173">
        <v>3945</v>
      </c>
      <c r="AD172" s="59">
        <v>2858</v>
      </c>
      <c r="AE172" s="59">
        <v>1334</v>
      </c>
      <c r="AF172" s="59">
        <v>1370</v>
      </c>
      <c r="AG172" s="59">
        <v>1309</v>
      </c>
      <c r="AH172" s="30">
        <v>981</v>
      </c>
      <c r="AI172" s="30">
        <v>993</v>
      </c>
      <c r="AJ172" s="30">
        <v>1177</v>
      </c>
      <c r="AK172" s="30">
        <v>1223</v>
      </c>
      <c r="AL172" s="30">
        <v>1766</v>
      </c>
      <c r="AQ172" s="30">
        <v>1600</v>
      </c>
      <c r="AU172" s="30">
        <v>1415</v>
      </c>
      <c r="AV172" s="30">
        <v>1147</v>
      </c>
      <c r="AW172" s="59">
        <v>1143</v>
      </c>
      <c r="AX172" s="59"/>
      <c r="AY172" s="59"/>
      <c r="AZ172" s="59"/>
      <c r="BA172" s="59"/>
      <c r="BB172" s="109"/>
      <c r="BC172" s="59"/>
      <c r="BD172" s="59"/>
      <c r="BE172" s="59"/>
      <c r="BF172" s="59"/>
      <c r="BM172" s="30">
        <v>15841</v>
      </c>
      <c r="BN172" s="30">
        <v>17772</v>
      </c>
      <c r="BQ172" s="30">
        <v>5452</v>
      </c>
      <c r="CB172" s="30">
        <v>2000</v>
      </c>
      <c r="CC172" s="85"/>
    </row>
    <row r="173" spans="1:81" s="30" customFormat="1" ht="12.75" customHeight="1" x14ac:dyDescent="0.55000000000000004">
      <c r="C173" s="30" t="s">
        <v>390</v>
      </c>
      <c r="X173" s="59"/>
      <c r="Y173" s="59"/>
      <c r="Z173" s="59"/>
      <c r="AA173" s="59"/>
      <c r="AB173" s="59"/>
      <c r="AC173" s="59"/>
      <c r="AD173" s="59"/>
      <c r="AE173" s="59"/>
      <c r="AF173" s="59"/>
      <c r="AG173" s="59">
        <v>888</v>
      </c>
      <c r="AH173" s="30">
        <v>1190</v>
      </c>
      <c r="AI173" s="30">
        <v>1467</v>
      </c>
      <c r="AJ173" s="30">
        <v>1779</v>
      </c>
      <c r="AK173" s="30">
        <v>2172</v>
      </c>
      <c r="AL173" s="30">
        <v>2581</v>
      </c>
      <c r="AP173" s="66"/>
      <c r="AQ173" s="30">
        <v>3426</v>
      </c>
      <c r="AU173" s="30">
        <v>3913</v>
      </c>
      <c r="AV173" s="30">
        <v>4045</v>
      </c>
      <c r="AW173" s="59">
        <v>4332</v>
      </c>
      <c r="AX173" s="59"/>
      <c r="AY173" s="59"/>
      <c r="AZ173" s="59">
        <v>5155</v>
      </c>
      <c r="BA173" s="59"/>
      <c r="BB173" s="109"/>
      <c r="BC173" s="59"/>
      <c r="BD173" s="59"/>
      <c r="BE173" s="59"/>
      <c r="BF173" s="59"/>
      <c r="BM173" s="30">
        <v>16325</v>
      </c>
      <c r="BN173" s="30">
        <v>24700</v>
      </c>
      <c r="BP173" s="30">
        <v>33588</v>
      </c>
      <c r="BQ173" s="30">
        <v>42584</v>
      </c>
      <c r="BR173" s="30">
        <v>57144</v>
      </c>
      <c r="BS173" s="30">
        <v>65212</v>
      </c>
      <c r="BT173" s="30">
        <v>71659</v>
      </c>
      <c r="BU173" s="30">
        <v>78107</v>
      </c>
      <c r="BV173" s="30">
        <v>92605</v>
      </c>
      <c r="BW173" s="30">
        <v>96821</v>
      </c>
      <c r="BX173" s="30">
        <v>98976</v>
      </c>
      <c r="BY173" s="30">
        <v>109811</v>
      </c>
      <c r="BZ173" s="30">
        <v>120646</v>
      </c>
      <c r="CA173" s="30">
        <v>136541</v>
      </c>
      <c r="CB173" s="30">
        <v>140096</v>
      </c>
      <c r="CC173" s="85">
        <v>140403</v>
      </c>
    </row>
    <row r="174" spans="1:81" s="30" customFormat="1" ht="12.75" customHeight="1" x14ac:dyDescent="0.55000000000000004">
      <c r="C174" s="84" t="s">
        <v>391</v>
      </c>
      <c r="X174" s="59"/>
      <c r="Y174" s="59"/>
      <c r="Z174" s="59"/>
      <c r="AA174" s="59"/>
      <c r="AB174" s="59"/>
      <c r="AC174" s="59"/>
      <c r="AD174" s="59"/>
      <c r="AE174" s="59"/>
      <c r="AF174" s="59"/>
      <c r="AG174" s="59"/>
      <c r="AW174" s="59"/>
      <c r="AX174" s="59"/>
      <c r="AY174" s="59"/>
      <c r="AZ174" s="59"/>
      <c r="BA174" s="59"/>
      <c r="BB174" s="59"/>
      <c r="BC174" s="59"/>
      <c r="BD174" s="59"/>
      <c r="BE174" s="59"/>
      <c r="BF174" s="59"/>
      <c r="BM174" s="30">
        <v>1450</v>
      </c>
      <c r="BN174" s="30">
        <v>2100</v>
      </c>
      <c r="BP174" s="30">
        <v>1457</v>
      </c>
      <c r="CC174" s="85"/>
    </row>
    <row r="175" spans="1:81" s="30" customFormat="1" ht="12.75" customHeight="1" x14ac:dyDescent="0.55000000000000004">
      <c r="C175" s="30" t="s">
        <v>392</v>
      </c>
      <c r="X175" s="59"/>
      <c r="Y175" s="59"/>
      <c r="Z175" s="59"/>
      <c r="AA175" s="59"/>
      <c r="AB175" s="59"/>
      <c r="AC175" s="59"/>
      <c r="AD175" s="59"/>
      <c r="AE175" s="59"/>
      <c r="AF175" s="59"/>
      <c r="AG175" s="59">
        <v>264</v>
      </c>
      <c r="AL175" s="30">
        <v>572</v>
      </c>
      <c r="AQ175" s="30">
        <v>531</v>
      </c>
      <c r="AU175" s="30">
        <v>276</v>
      </c>
      <c r="AV175" s="30">
        <v>1448</v>
      </c>
      <c r="AW175" s="59">
        <v>1112</v>
      </c>
      <c r="AX175" s="59">
        <v>1134</v>
      </c>
      <c r="AY175" s="59">
        <v>786</v>
      </c>
      <c r="AZ175" s="59">
        <f>980+870</f>
        <v>1850</v>
      </c>
      <c r="BA175" s="59"/>
      <c r="BB175" s="59"/>
      <c r="BC175" s="59"/>
      <c r="BD175" s="59"/>
      <c r="BE175" s="59"/>
      <c r="BF175" s="59"/>
      <c r="BM175" s="30">
        <f>8760+703+3239+6198</f>
        <v>18900</v>
      </c>
      <c r="BN175" s="30">
        <f>11130+805+3386+2354</f>
        <v>17675</v>
      </c>
      <c r="BO175" s="30">
        <f>18086+821+3932+3070</f>
        <v>25909</v>
      </c>
      <c r="BP175" s="30">
        <f>11327+783+3386+4098</f>
        <v>19594</v>
      </c>
      <c r="BR175" s="30">
        <v>7400</v>
      </c>
      <c r="BV175" s="30">
        <v>42200</v>
      </c>
      <c r="CB175" s="30">
        <v>66000</v>
      </c>
      <c r="CC175" s="85"/>
    </row>
  </sheetData>
  <mergeCells count="1">
    <mergeCell ref="B1:B2"/>
  </mergeCell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Notes</vt:lpstr>
      <vt:lpstr>KE</vt:lpstr>
      <vt:lpstr>TZ</vt:lpstr>
      <vt:lpstr>UG</vt:lpstr>
    </vt:vector>
  </TitlesOfParts>
  <Company>London School of Economics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Rebecca</cp:lastModifiedBy>
  <cp:lastPrinted>2017-08-15T15:44:27Z</cp:lastPrinted>
  <dcterms:created xsi:type="dcterms:W3CDTF">2017-07-20T12:13:02Z</dcterms:created>
  <dcterms:modified xsi:type="dcterms:W3CDTF">2017-08-25T14:58:03Z</dcterms:modified>
</cp:coreProperties>
</file>